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4265" activeTab="1"/>
  </bookViews>
  <sheets>
    <sheet name="roboty ziemne" sheetId="1" r:id="rId1"/>
    <sheet name="humusowanie" sheetId="2" r:id="rId2"/>
  </sheets>
  <definedNames/>
  <calcPr fullCalcOnLoad="1"/>
</workbook>
</file>

<file path=xl/sharedStrings.xml><?xml version="1.0" encoding="utf-8"?>
<sst xmlns="http://schemas.openxmlformats.org/spreadsheetml/2006/main" count="56" uniqueCount="39">
  <si>
    <t>TABELA NR 1</t>
  </si>
  <si>
    <t>km</t>
  </si>
  <si>
    <t>WYKOP</t>
  </si>
  <si>
    <t>NASYP</t>
  </si>
  <si>
    <t xml:space="preserve">Zużycie  </t>
  </si>
  <si>
    <t>Nadmiar</t>
  </si>
  <si>
    <t>SUMA</t>
  </si>
  <si>
    <t>na</t>
  </si>
  <si>
    <t>obiętosci</t>
  </si>
  <si>
    <t xml:space="preserve">nadmiaru </t>
  </si>
  <si>
    <t>Odlełość</t>
  </si>
  <si>
    <t>Pprekr</t>
  </si>
  <si>
    <t>Pprzekr</t>
  </si>
  <si>
    <t>P śr.</t>
  </si>
  <si>
    <t xml:space="preserve">P śr. </t>
  </si>
  <si>
    <t xml:space="preserve">obiętość </t>
  </si>
  <si>
    <t xml:space="preserve">objętość </t>
  </si>
  <si>
    <t>miejscu</t>
  </si>
  <si>
    <t>obiętości</t>
  </si>
  <si>
    <t>m</t>
  </si>
  <si>
    <t>m2</t>
  </si>
  <si>
    <t>m3</t>
  </si>
  <si>
    <t>Odległość</t>
  </si>
  <si>
    <t>SUMA :</t>
  </si>
  <si>
    <t>Tabela robót ziemnych</t>
  </si>
  <si>
    <t xml:space="preserve"> Roboty ziemne - Pionierów Żuław</t>
  </si>
  <si>
    <t>Hzd</t>
  </si>
  <si>
    <t>Hna</t>
  </si>
  <si>
    <t>TABELA NR 2</t>
  </si>
  <si>
    <t>Pow. Średnia zdjętego</t>
  </si>
  <si>
    <t>HUMUSOWANIE</t>
  </si>
  <si>
    <t>Pow. Średnia nałożonego</t>
  </si>
  <si>
    <t>Długość zdjętego</t>
  </si>
  <si>
    <t>Długość nałożonego</t>
  </si>
  <si>
    <t>Suma zdjętego</t>
  </si>
  <si>
    <t>Suma nałożonego</t>
  </si>
  <si>
    <r>
      <t>m</t>
    </r>
    <r>
      <rPr>
        <sz val="14"/>
        <rFont val="Czcionka tekstu podstawowego"/>
        <family val="0"/>
      </rPr>
      <t>³</t>
    </r>
  </si>
  <si>
    <r>
      <t>m</t>
    </r>
    <r>
      <rPr>
        <sz val="14"/>
        <rFont val="Arial"/>
        <family val="2"/>
      </rPr>
      <t>³</t>
    </r>
  </si>
  <si>
    <t>Humusowanie  - Pionierów Żuław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</si>
</sst>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+000.00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1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imes New Roman CE"/>
      <family val="1"/>
    </font>
    <font>
      <sz val="10"/>
      <color indexed="8"/>
      <name val="Czcionka tekstu podstawowego"/>
      <family val="2"/>
    </font>
    <font>
      <b/>
      <sz val="11"/>
      <name val="Arial"/>
      <family val="2"/>
    </font>
    <font>
      <sz val="14"/>
      <name val="Czcionka tekstu podstawowego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18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2" borderId="0" applyNumberFormat="0" applyBorder="0" applyProtection="0">
      <alignment vertical="center" wrapText="1"/>
    </xf>
    <xf numFmtId="0" fontId="0" fillId="3" borderId="0" applyNumberFormat="0" applyBorder="0" applyAlignment="0" applyProtection="0"/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3" borderId="0" applyNumberFormat="0" applyBorder="0" applyProtection="0">
      <alignment vertical="center" wrapText="1"/>
    </xf>
    <xf numFmtId="0" fontId="0" fillId="4" borderId="0" applyNumberFormat="0" applyBorder="0" applyAlignment="0" applyProtection="0"/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4" borderId="0" applyNumberFormat="0" applyBorder="0" applyProtection="0">
      <alignment vertical="center" wrapText="1"/>
    </xf>
    <xf numFmtId="0" fontId="0" fillId="5" borderId="0" applyNumberFormat="0" applyBorder="0" applyAlignment="0" applyProtection="0"/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6" borderId="0" applyNumberFormat="0" applyBorder="0" applyAlignment="0" applyProtection="0"/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6" borderId="0" applyNumberFormat="0" applyBorder="0" applyProtection="0">
      <alignment vertical="center" wrapText="1"/>
    </xf>
    <xf numFmtId="0" fontId="0" fillId="7" borderId="0" applyNumberFormat="0" applyBorder="0" applyAlignment="0" applyProtection="0"/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7" borderId="0" applyNumberFormat="0" applyBorder="0" applyProtection="0">
      <alignment vertical="center" wrapText="1"/>
    </xf>
    <xf numFmtId="0" fontId="0" fillId="8" borderId="0" applyNumberFormat="0" applyBorder="0" applyAlignment="0" applyProtection="0"/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9" borderId="0" applyNumberFormat="0" applyBorder="0" applyAlignment="0" applyProtection="0"/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9" borderId="0" applyNumberFormat="0" applyBorder="0" applyProtection="0">
      <alignment vertical="center" wrapText="1"/>
    </xf>
    <xf numFmtId="0" fontId="0" fillId="10" borderId="0" applyNumberFormat="0" applyBorder="0" applyAlignment="0" applyProtection="0"/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10" borderId="0" applyNumberFormat="0" applyBorder="0" applyProtection="0">
      <alignment vertical="center" wrapText="1"/>
    </xf>
    <xf numFmtId="0" fontId="0" fillId="5" borderId="0" applyNumberFormat="0" applyBorder="0" applyAlignment="0" applyProtection="0"/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5" borderId="0" applyNumberFormat="0" applyBorder="0" applyProtection="0">
      <alignment vertical="center" wrapText="1"/>
    </xf>
    <xf numFmtId="0" fontId="0" fillId="8" borderId="0" applyNumberFormat="0" applyBorder="0" applyAlignment="0" applyProtection="0"/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8" borderId="0" applyNumberFormat="0" applyBorder="0" applyProtection="0">
      <alignment vertical="center" wrapText="1"/>
    </xf>
    <xf numFmtId="0" fontId="0" fillId="11" borderId="0" applyNumberFormat="0" applyBorder="0" applyAlignment="0" applyProtection="0"/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0" fillId="11" borderId="0" applyNumberFormat="0" applyBorder="0" applyProtection="0">
      <alignment vertical="center" wrapText="1"/>
    </xf>
    <xf numFmtId="0" fontId="2" fillId="12" borderId="0" applyNumberFormat="0" applyBorder="0" applyAlignment="0" applyProtection="0"/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12" borderId="0" applyNumberFormat="0" applyBorder="0" applyProtection="0">
      <alignment vertical="center" wrapText="1"/>
    </xf>
    <xf numFmtId="0" fontId="2" fillId="9" borderId="0" applyNumberFormat="0" applyBorder="0" applyAlignment="0" applyProtection="0"/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10" borderId="0" applyNumberFormat="0" applyBorder="0" applyAlignment="0" applyProtection="0"/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2" fillId="13" borderId="0" applyNumberFormat="0" applyBorder="0" applyAlignment="0" applyProtection="0"/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4" borderId="0" applyNumberFormat="0" applyBorder="0" applyAlignment="0" applyProtection="0"/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5" borderId="0" applyNumberFormat="0" applyBorder="0" applyAlignment="0" applyProtection="0"/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5" borderId="0" applyNumberFormat="0" applyBorder="0" applyProtection="0">
      <alignment vertical="center" wrapText="1"/>
    </xf>
    <xf numFmtId="0" fontId="2" fillId="16" borderId="0" applyNumberFormat="0" applyBorder="0" applyAlignment="0" applyProtection="0"/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6" borderId="0" applyNumberFormat="0" applyBorder="0" applyProtection="0">
      <alignment vertical="center" wrapText="1"/>
    </xf>
    <xf numFmtId="0" fontId="2" fillId="17" borderId="0" applyNumberFormat="0" applyBorder="0" applyAlignment="0" applyProtection="0"/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7" borderId="0" applyNumberFormat="0" applyBorder="0" applyProtection="0">
      <alignment vertical="center" wrapText="1"/>
    </xf>
    <xf numFmtId="0" fontId="2" fillId="18" borderId="0" applyNumberFormat="0" applyBorder="0" applyAlignment="0" applyProtection="0"/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8" borderId="0" applyNumberFormat="0" applyBorder="0" applyProtection="0">
      <alignment vertical="center" wrapText="1"/>
    </xf>
    <xf numFmtId="0" fontId="2" fillId="13" borderId="0" applyNumberFormat="0" applyBorder="0" applyAlignment="0" applyProtection="0"/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3" borderId="0" applyNumberFormat="0" applyBorder="0" applyProtection="0">
      <alignment vertical="center" wrapText="1"/>
    </xf>
    <xf numFmtId="0" fontId="2" fillId="14" borderId="0" applyNumberFormat="0" applyBorder="0" applyAlignment="0" applyProtection="0"/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4" borderId="0" applyNumberFormat="0" applyBorder="0" applyProtection="0">
      <alignment vertical="center" wrapText="1"/>
    </xf>
    <xf numFmtId="0" fontId="2" fillId="19" borderId="0" applyNumberFormat="0" applyBorder="0" applyAlignment="0" applyProtection="0"/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3" fillId="7" borderId="1" applyNumberFormat="0" applyAlignment="0" applyProtection="0"/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3" fillId="7" borderId="1" applyNumberFormat="0" applyProtection="0">
      <alignment vertical="center" wrapText="1"/>
    </xf>
    <xf numFmtId="0" fontId="4" fillId="20" borderId="2" applyNumberFormat="0" applyAlignment="0" applyProtection="0"/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4" fillId="20" borderId="2" applyNumberFormat="0" applyProtection="0">
      <alignment vertical="center" wrapText="1"/>
    </xf>
    <xf numFmtId="0" fontId="5" fillId="4" borderId="0" applyNumberFormat="0" applyBorder="0" applyAlignment="0" applyProtection="0"/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0" fontId="5" fillId="4" borderId="0" applyNumberFormat="0" applyBorder="0" applyProtection="0">
      <alignment vertical="center"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6" fillId="0" borderId="3" applyNumberFormat="0" applyFill="0" applyProtection="0">
      <alignment vertical="center" wrapText="1"/>
    </xf>
    <xf numFmtId="0" fontId="7" fillId="21" borderId="4" applyNumberFormat="0" applyAlignment="0" applyProtection="0"/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7" fillId="21" borderId="4" applyNumberFormat="0" applyProtection="0">
      <alignment vertical="center" wrapText="1"/>
    </xf>
    <xf numFmtId="0" fontId="8" fillId="0" borderId="5" applyNumberFormat="0" applyFill="0" applyAlignment="0" applyProtection="0"/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8" fillId="0" borderId="5" applyNumberFormat="0" applyFill="0" applyProtection="0">
      <alignment vertical="center" wrapText="1"/>
    </xf>
    <xf numFmtId="0" fontId="9" fillId="0" borderId="6" applyNumberFormat="0" applyFill="0" applyAlignment="0" applyProtection="0"/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9" fillId="0" borderId="6" applyNumberFormat="0" applyFill="0" applyProtection="0">
      <alignment vertical="center" wrapText="1"/>
    </xf>
    <xf numFmtId="0" fontId="10" fillId="0" borderId="7" applyNumberFormat="0" applyFill="0" applyAlignment="0" applyProtection="0"/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7" applyNumberFormat="0" applyFill="0" applyProtection="0">
      <alignment vertical="center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11" fillId="22" borderId="0" applyNumberFormat="0" applyBorder="0" applyAlignment="0" applyProtection="0"/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1" fillId="22" borderId="0" applyNumberFormat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2" fillId="0" borderId="0">
      <alignment vertical="center" wrapText="1"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14" fillId="20" borderId="1" applyNumberFormat="0" applyProtection="0">
      <alignment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 applyFont="1" applyAlignment="1">
      <alignment/>
    </xf>
    <xf numFmtId="0" fontId="18" fillId="0" borderId="8" xfId="1522" applyFont="1" applyFill="1" applyBorder="1" applyAlignment="1">
      <alignment horizontal="center"/>
      <protection/>
    </xf>
    <xf numFmtId="0" fontId="18" fillId="0" borderId="9" xfId="1522" applyFont="1" applyFill="1" applyBorder="1" applyAlignment="1">
      <alignment horizontal="center"/>
      <protection/>
    </xf>
    <xf numFmtId="2" fontId="18" fillId="0" borderId="8" xfId="1522" applyNumberFormat="1" applyFont="1" applyFill="1" applyBorder="1" applyAlignment="1">
      <alignment horizontal="center"/>
      <protection/>
    </xf>
    <xf numFmtId="2" fontId="17" fillId="0" borderId="8" xfId="1522" applyNumberFormat="1" applyFont="1" applyFill="1" applyBorder="1" applyAlignment="1">
      <alignment horizontal="center"/>
      <protection/>
    </xf>
    <xf numFmtId="2" fontId="1" fillId="23" borderId="10" xfId="1522" applyNumberFormat="1" applyFont="1" applyFill="1" applyBorder="1" applyAlignment="1">
      <alignment horizontal="center" vertical="center"/>
      <protection/>
    </xf>
    <xf numFmtId="164" fontId="1" fillId="0" borderId="0" xfId="1553" applyNumberFormat="1" applyFont="1" applyFill="1" applyBorder="1" applyAlignment="1">
      <alignment horizontal="center" vertical="center"/>
      <protection/>
    </xf>
    <xf numFmtId="0" fontId="19" fillId="0" borderId="0" xfId="1553" applyFont="1">
      <alignment/>
      <protection/>
    </xf>
    <xf numFmtId="0" fontId="0" fillId="0" borderId="0" xfId="1553" applyFont="1" applyBorder="1">
      <alignment/>
      <protection/>
    </xf>
    <xf numFmtId="2" fontId="1" fillId="0" borderId="0" xfId="1553" applyNumberFormat="1" applyFont="1" applyFill="1" applyBorder="1" applyAlignment="1">
      <alignment horizontal="center" vertical="center"/>
      <protection/>
    </xf>
    <xf numFmtId="2" fontId="15" fillId="0" borderId="0" xfId="15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7" fillId="0" borderId="0" xfId="1522" applyFont="1" applyFill="1" applyBorder="1" applyAlignment="1">
      <alignment horizontal="center"/>
      <protection/>
    </xf>
    <xf numFmtId="0" fontId="18" fillId="0" borderId="0" xfId="1522" applyFont="1" applyFill="1" applyBorder="1" applyAlignment="1">
      <alignment horizontal="center"/>
      <protection/>
    </xf>
    <xf numFmtId="2" fontId="17" fillId="0" borderId="0" xfId="1522" applyNumberFormat="1" applyFont="1" applyFill="1" applyBorder="1" applyAlignment="1">
      <alignment horizontal="center"/>
      <protection/>
    </xf>
    <xf numFmtId="2" fontId="18" fillId="0" borderId="0" xfId="1522" applyNumberFormat="1" applyFont="1" applyFill="1" applyBorder="1" applyAlignment="1">
      <alignment horizontal="center"/>
      <protection/>
    </xf>
    <xf numFmtId="0" fontId="15" fillId="0" borderId="0" xfId="1512" applyFont="1" applyBorder="1" applyAlignment="1">
      <alignment horizontal="center" vertical="center" wrapText="1"/>
      <protection/>
    </xf>
    <xf numFmtId="0" fontId="16" fillId="0" borderId="0" xfId="1522" applyFont="1" applyFill="1" applyBorder="1" applyAlignment="1">
      <alignment horizontal="center"/>
      <protection/>
    </xf>
    <xf numFmtId="0" fontId="15" fillId="0" borderId="0" xfId="1517" applyFont="1" applyBorder="1" applyAlignment="1">
      <alignment horizontal="center" vertical="center" wrapText="1"/>
      <protection/>
    </xf>
    <xf numFmtId="1" fontId="17" fillId="0" borderId="0" xfId="1522" applyNumberFormat="1" applyFont="1" applyFill="1" applyBorder="1" applyAlignment="1">
      <alignment/>
      <protection/>
    </xf>
    <xf numFmtId="0" fontId="18" fillId="0" borderId="0" xfId="1522" applyFont="1" applyFill="1" applyBorder="1" applyAlignment="1">
      <alignment/>
      <protection/>
    </xf>
    <xf numFmtId="2" fontId="1" fillId="24" borderId="10" xfId="1522" applyNumberFormat="1" applyFont="1" applyFill="1" applyBorder="1" applyAlignment="1">
      <alignment horizontal="center" vertical="center"/>
      <protection/>
    </xf>
    <xf numFmtId="2" fontId="1" fillId="24" borderId="11" xfId="1522" applyNumberFormat="1" applyFont="1" applyFill="1" applyBorder="1" applyAlignment="1">
      <alignment horizontal="center" vertical="center"/>
      <protection/>
    </xf>
    <xf numFmtId="0" fontId="15" fillId="0" borderId="0" xfId="1553" applyFont="1" applyFill="1" applyBorder="1" applyAlignment="1">
      <alignment horizontal="center" vertical="center"/>
      <protection/>
    </xf>
    <xf numFmtId="0" fontId="1" fillId="0" borderId="0" xfId="1553" applyFont="1" applyFill="1" applyBorder="1" applyAlignment="1">
      <alignment horizontal="center" vertical="center"/>
      <protection/>
    </xf>
    <xf numFmtId="0" fontId="15" fillId="0" borderId="0" xfId="1553" applyFont="1" applyFill="1" applyBorder="1" applyAlignment="1">
      <alignment vertical="center"/>
      <protection/>
    </xf>
    <xf numFmtId="0" fontId="20" fillId="0" borderId="0" xfId="1522" applyFont="1" applyFill="1" applyBorder="1" applyAlignment="1">
      <alignment/>
      <protection/>
    </xf>
    <xf numFmtId="0" fontId="17" fillId="0" borderId="0" xfId="1522" applyFont="1" applyFill="1" applyBorder="1" applyAlignment="1">
      <alignment vertical="top"/>
      <protection/>
    </xf>
    <xf numFmtId="0" fontId="15" fillId="0" borderId="0" xfId="1553" applyFont="1" applyFill="1" applyBorder="1" applyAlignment="1">
      <alignment vertical="top"/>
      <protection/>
    </xf>
    <xf numFmtId="2" fontId="15" fillId="0" borderId="0" xfId="1553" applyNumberFormat="1" applyFont="1" applyFill="1" applyBorder="1" applyAlignment="1">
      <alignment vertical="top"/>
      <protection/>
    </xf>
    <xf numFmtId="2" fontId="1" fillId="24" borderId="12" xfId="1553" applyNumberFormat="1" applyFont="1" applyFill="1" applyBorder="1" applyAlignment="1">
      <alignment horizontal="center" vertical="center"/>
      <protection/>
    </xf>
    <xf numFmtId="2" fontId="1" fillId="0" borderId="13" xfId="1553" applyNumberFormat="1" applyFont="1" applyFill="1" applyBorder="1" applyAlignment="1">
      <alignment horizontal="center" vertical="center"/>
      <protection/>
    </xf>
    <xf numFmtId="164" fontId="1" fillId="25" borderId="13" xfId="1553" applyNumberFormat="1" applyFont="1" applyFill="1" applyBorder="1" applyAlignment="1">
      <alignment horizontal="center" vertical="center"/>
      <protection/>
    </xf>
    <xf numFmtId="2" fontId="1" fillId="25" borderId="13" xfId="1553" applyNumberFormat="1" applyFont="1" applyFill="1" applyBorder="1" applyAlignment="1">
      <alignment horizontal="center" vertical="center"/>
      <protection/>
    </xf>
    <xf numFmtId="2" fontId="1" fillId="0" borderId="14" xfId="1553" applyNumberFormat="1" applyFont="1" applyFill="1" applyBorder="1" applyAlignment="1">
      <alignment horizontal="center" vertical="center"/>
      <protection/>
    </xf>
    <xf numFmtId="2" fontId="1" fillId="0" borderId="15" xfId="1553" applyNumberFormat="1" applyFont="1" applyFill="1" applyBorder="1" applyAlignment="1">
      <alignment horizontal="center" vertical="center"/>
      <protection/>
    </xf>
    <xf numFmtId="2" fontId="15" fillId="0" borderId="16" xfId="1553" applyNumberFormat="1" applyFont="1" applyFill="1" applyBorder="1" applyAlignment="1">
      <alignment horizontal="center" vertical="center"/>
      <protection/>
    </xf>
    <xf numFmtId="2" fontId="1" fillId="25" borderId="17" xfId="1553" applyNumberFormat="1" applyFont="1" applyFill="1" applyBorder="1" applyAlignment="1">
      <alignment horizontal="center" vertical="center"/>
      <protection/>
    </xf>
    <xf numFmtId="2" fontId="1" fillId="0" borderId="17" xfId="1553" applyNumberFormat="1" applyFont="1" applyFill="1" applyBorder="1" applyAlignment="1">
      <alignment horizontal="center" vertical="center"/>
      <protection/>
    </xf>
    <xf numFmtId="164" fontId="1" fillId="25" borderId="17" xfId="1553" applyNumberFormat="1" applyFont="1" applyFill="1" applyBorder="1" applyAlignment="1">
      <alignment horizontal="center" vertical="center"/>
      <protection/>
    </xf>
    <xf numFmtId="164" fontId="1" fillId="0" borderId="18" xfId="1492" applyNumberFormat="1" applyFont="1" applyFill="1" applyBorder="1" applyAlignment="1">
      <alignment horizontal="center" vertical="center"/>
      <protection/>
    </xf>
    <xf numFmtId="2" fontId="1" fillId="0" borderId="19" xfId="1553" applyNumberFormat="1" applyFont="1" applyFill="1" applyBorder="1" applyAlignment="1">
      <alignment horizontal="center" vertical="center"/>
      <protection/>
    </xf>
    <xf numFmtId="2" fontId="15" fillId="0" borderId="20" xfId="1553" applyNumberFormat="1" applyFont="1" applyFill="1" applyBorder="1" applyAlignment="1">
      <alignment horizontal="center" vertical="center"/>
      <protection/>
    </xf>
    <xf numFmtId="2" fontId="1" fillId="0" borderId="18" xfId="1553" applyNumberFormat="1" applyFont="1" applyFill="1" applyBorder="1" applyAlignment="1">
      <alignment horizontal="center" vertical="center"/>
      <protection/>
    </xf>
    <xf numFmtId="2" fontId="1" fillId="0" borderId="21" xfId="1553" applyNumberFormat="1" applyFont="1" applyFill="1" applyBorder="1" applyAlignment="1">
      <alignment horizontal="center" vertical="center"/>
      <protection/>
    </xf>
    <xf numFmtId="2" fontId="15" fillId="0" borderId="22" xfId="1553" applyNumberFormat="1" applyFont="1" applyFill="1" applyBorder="1" applyAlignment="1">
      <alignment horizontal="center" vertical="center"/>
      <protection/>
    </xf>
    <xf numFmtId="2" fontId="15" fillId="0" borderId="23" xfId="1553" applyNumberFormat="1" applyFont="1" applyFill="1" applyBorder="1" applyAlignment="1">
      <alignment horizontal="center" vertical="center"/>
      <protection/>
    </xf>
    <xf numFmtId="2" fontId="15" fillId="0" borderId="24" xfId="1553" applyNumberFormat="1" applyFont="1" applyFill="1" applyBorder="1" applyAlignment="1">
      <alignment horizontal="center" vertical="center"/>
      <protection/>
    </xf>
    <xf numFmtId="2" fontId="15" fillId="0" borderId="25" xfId="1553" applyNumberFormat="1" applyFont="1" applyFill="1" applyBorder="1" applyAlignment="1">
      <alignment horizontal="center" vertical="center"/>
      <protection/>
    </xf>
    <xf numFmtId="0" fontId="1" fillId="0" borderId="26" xfId="1553" applyFont="1" applyFill="1" applyBorder="1" applyAlignment="1">
      <alignment horizontal="center" vertical="center"/>
      <protection/>
    </xf>
    <xf numFmtId="2" fontId="1" fillId="0" borderId="26" xfId="1553" applyNumberFormat="1" applyFont="1" applyFill="1" applyBorder="1" applyAlignment="1">
      <alignment horizontal="center" vertical="center"/>
      <protection/>
    </xf>
    <xf numFmtId="0" fontId="1" fillId="0" borderId="27" xfId="1553" applyFont="1" applyFill="1" applyBorder="1" applyAlignment="1">
      <alignment horizontal="center" vertical="center"/>
      <protection/>
    </xf>
    <xf numFmtId="0" fontId="1" fillId="0" borderId="28" xfId="1553" applyFont="1" applyFill="1" applyBorder="1" applyAlignment="1">
      <alignment horizontal="center" vertical="center"/>
      <protection/>
    </xf>
    <xf numFmtId="0" fontId="1" fillId="0" borderId="29" xfId="1553" applyFont="1" applyFill="1" applyBorder="1" applyAlignment="1">
      <alignment horizontal="center" vertical="center"/>
      <protection/>
    </xf>
    <xf numFmtId="0" fontId="17" fillId="0" borderId="30" xfId="1522" applyFont="1" applyFill="1" applyBorder="1" applyAlignment="1">
      <alignment horizontal="center"/>
      <protection/>
    </xf>
    <xf numFmtId="0" fontId="18" fillId="0" borderId="31" xfId="1522" applyFont="1" applyFill="1" applyBorder="1" applyAlignment="1">
      <alignment horizontal="center"/>
      <protection/>
    </xf>
    <xf numFmtId="0" fontId="17" fillId="0" borderId="31" xfId="1522" applyFont="1" applyFill="1" applyBorder="1" applyAlignment="1">
      <alignment horizontal="center"/>
      <protection/>
    </xf>
    <xf numFmtId="0" fontId="17" fillId="0" borderId="32" xfId="1522" applyFont="1" applyFill="1" applyBorder="1" applyAlignment="1">
      <alignment horizontal="center"/>
      <protection/>
    </xf>
    <xf numFmtId="2" fontId="17" fillId="0" borderId="31" xfId="1522" applyNumberFormat="1" applyFont="1" applyFill="1" applyBorder="1" applyAlignment="1">
      <alignment horizontal="center"/>
      <protection/>
    </xf>
    <xf numFmtId="2" fontId="17" fillId="0" borderId="33" xfId="1522" applyNumberFormat="1" applyFont="1" applyFill="1" applyBorder="1" applyAlignment="1">
      <alignment horizontal="center"/>
      <protection/>
    </xf>
    <xf numFmtId="0" fontId="18" fillId="0" borderId="34" xfId="1522" applyFont="1" applyFill="1" applyBorder="1" applyAlignment="1">
      <alignment horizontal="center"/>
      <protection/>
    </xf>
    <xf numFmtId="2" fontId="17" fillId="0" borderId="35" xfId="1522" applyNumberFormat="1" applyFont="1" applyFill="1" applyBorder="1" applyAlignment="1">
      <alignment horizontal="center"/>
      <protection/>
    </xf>
    <xf numFmtId="0" fontId="18" fillId="0" borderId="36" xfId="1522" applyFont="1" applyFill="1" applyBorder="1" applyAlignment="1">
      <alignment horizontal="center"/>
      <protection/>
    </xf>
    <xf numFmtId="0" fontId="17" fillId="0" borderId="37" xfId="1522" applyFont="1" applyFill="1" applyBorder="1" applyAlignment="1">
      <alignment horizontal="center"/>
      <protection/>
    </xf>
    <xf numFmtId="0" fontId="17" fillId="0" borderId="38" xfId="1522" applyFont="1" applyFill="1" applyBorder="1" applyAlignment="1">
      <alignment horizontal="center"/>
      <protection/>
    </xf>
    <xf numFmtId="2" fontId="17" fillId="0" borderId="37" xfId="1522" applyNumberFormat="1" applyFont="1" applyFill="1" applyBorder="1" applyAlignment="1">
      <alignment horizontal="center"/>
      <protection/>
    </xf>
    <xf numFmtId="2" fontId="18" fillId="0" borderId="37" xfId="1522" applyNumberFormat="1" applyFont="1" applyFill="1" applyBorder="1" applyAlignment="1">
      <alignment horizontal="center"/>
      <protection/>
    </xf>
    <xf numFmtId="2" fontId="17" fillId="0" borderId="39" xfId="1522" applyNumberFormat="1" applyFont="1" applyFill="1" applyBorder="1" applyAlignment="1">
      <alignment horizontal="center"/>
      <protection/>
    </xf>
    <xf numFmtId="0" fontId="18" fillId="0" borderId="40" xfId="1522" applyFont="1" applyFill="1" applyBorder="1" applyAlignment="1">
      <alignment horizontal="center"/>
      <protection/>
    </xf>
    <xf numFmtId="0" fontId="17" fillId="0" borderId="41" xfId="1522" applyFont="1" applyFill="1" applyBorder="1" applyAlignment="1">
      <alignment horizontal="center"/>
      <protection/>
    </xf>
    <xf numFmtId="2" fontId="17" fillId="0" borderId="41" xfId="1522" applyNumberFormat="1" applyFont="1" applyFill="1" applyBorder="1" applyAlignment="1">
      <alignment horizontal="center"/>
      <protection/>
    </xf>
    <xf numFmtId="2" fontId="17" fillId="0" borderId="42" xfId="1522" applyNumberFormat="1" applyFont="1" applyFill="1" applyBorder="1" applyAlignment="1">
      <alignment horizontal="center"/>
      <protection/>
    </xf>
    <xf numFmtId="2" fontId="1" fillId="24" borderId="12" xfId="1522" applyNumberFormat="1" applyFont="1" applyFill="1" applyBorder="1" applyAlignment="1">
      <alignment horizontal="center" vertical="center"/>
      <protection/>
    </xf>
    <xf numFmtId="1" fontId="17" fillId="25" borderId="41" xfId="1522" applyNumberFormat="1" applyFont="1" applyFill="1" applyBorder="1" applyAlignment="1">
      <alignment horizontal="center"/>
      <protection/>
    </xf>
    <xf numFmtId="1" fontId="17" fillId="0" borderId="43" xfId="1522" applyNumberFormat="1" applyFont="1" applyFill="1" applyBorder="1" applyAlignment="1">
      <alignment horizontal="center"/>
      <protection/>
    </xf>
    <xf numFmtId="1" fontId="17" fillId="0" borderId="41" xfId="1522" applyNumberFormat="1" applyFont="1" applyFill="1" applyBorder="1" applyAlignment="1">
      <alignment horizontal="center"/>
      <protection/>
    </xf>
    <xf numFmtId="1" fontId="17" fillId="0" borderId="42" xfId="1522" applyNumberFormat="1" applyFont="1" applyFill="1" applyBorder="1" applyAlignment="1">
      <alignment horizontal="center"/>
      <protection/>
    </xf>
    <xf numFmtId="2" fontId="1" fillId="23" borderId="44" xfId="1522" applyNumberFormat="1" applyFont="1" applyFill="1" applyBorder="1" applyAlignment="1">
      <alignment horizontal="center" vertical="center"/>
      <protection/>
    </xf>
    <xf numFmtId="2" fontId="1" fillId="23" borderId="45" xfId="1522" applyNumberFormat="1" applyFont="1" applyFill="1" applyBorder="1" applyAlignment="1">
      <alignment horizontal="center" vertical="center"/>
      <protection/>
    </xf>
    <xf numFmtId="2" fontId="15" fillId="23" borderId="24" xfId="1522" applyNumberFormat="1" applyFont="1" applyFill="1" applyBorder="1" applyAlignment="1">
      <alignment horizontal="center" vertical="center"/>
      <protection/>
    </xf>
    <xf numFmtId="2" fontId="15" fillId="23" borderId="46" xfId="1522" applyNumberFormat="1" applyFont="1" applyFill="1" applyBorder="1" applyAlignment="1">
      <alignment horizontal="center" vertical="center"/>
      <protection/>
    </xf>
    <xf numFmtId="2" fontId="15" fillId="23" borderId="47" xfId="1522" applyNumberFormat="1" applyFont="1" applyFill="1" applyBorder="1" applyAlignment="1">
      <alignment horizontal="center" vertical="center"/>
      <protection/>
    </xf>
    <xf numFmtId="2" fontId="15" fillId="23" borderId="48" xfId="1522" applyNumberFormat="1" applyFont="1" applyFill="1" applyBorder="1" applyAlignment="1">
      <alignment horizontal="center" vertical="center"/>
      <protection/>
    </xf>
    <xf numFmtId="2" fontId="15" fillId="23" borderId="49" xfId="1522" applyNumberFormat="1" applyFont="1" applyFill="1" applyBorder="1" applyAlignment="1">
      <alignment horizontal="center" vertical="center"/>
      <protection/>
    </xf>
    <xf numFmtId="2" fontId="1" fillId="24" borderId="8" xfId="1553" applyNumberFormat="1" applyFont="1" applyFill="1" applyBorder="1" applyAlignment="1">
      <alignment horizontal="center" vertical="center"/>
      <protection/>
    </xf>
    <xf numFmtId="2" fontId="1" fillId="24" borderId="50" xfId="1522" applyNumberFormat="1" applyFont="1" applyFill="1" applyBorder="1" applyAlignment="1">
      <alignment horizontal="center" vertical="center"/>
      <protection/>
    </xf>
    <xf numFmtId="2" fontId="1" fillId="24" borderId="51" xfId="1522" applyNumberFormat="1" applyFont="1" applyFill="1" applyBorder="1" applyAlignment="1">
      <alignment horizontal="center" vertical="center"/>
      <protection/>
    </xf>
    <xf numFmtId="2" fontId="1" fillId="23" borderId="52" xfId="1522" applyNumberFormat="1" applyFont="1" applyFill="1" applyBorder="1" applyAlignment="1">
      <alignment horizontal="center" vertical="center"/>
      <protection/>
    </xf>
    <xf numFmtId="2" fontId="1" fillId="0" borderId="41" xfId="1522" applyNumberFormat="1" applyFont="1" applyFill="1" applyBorder="1" applyAlignment="1">
      <alignment horizontal="center" vertical="center"/>
      <protection/>
    </xf>
    <xf numFmtId="2" fontId="1" fillId="0" borderId="43" xfId="1522" applyNumberFormat="1" applyFont="1" applyFill="1" applyBorder="1" applyAlignment="1">
      <alignment horizontal="center" vertical="center"/>
      <protection/>
    </xf>
    <xf numFmtId="2" fontId="1" fillId="0" borderId="20" xfId="1522" applyNumberFormat="1" applyFont="1" applyFill="1" applyBorder="1" applyAlignment="1">
      <alignment horizontal="center" vertical="center"/>
      <protection/>
    </xf>
    <xf numFmtId="2" fontId="15" fillId="0" borderId="53" xfId="1522" applyNumberFormat="1" applyFont="1" applyFill="1" applyBorder="1" applyAlignment="1">
      <alignment horizontal="center" vertical="center"/>
      <protection/>
    </xf>
    <xf numFmtId="2" fontId="15" fillId="0" borderId="18" xfId="1522" applyNumberFormat="1" applyFont="1" applyFill="1" applyBorder="1" applyAlignment="1">
      <alignment horizontal="center" vertical="center"/>
      <protection/>
    </xf>
    <xf numFmtId="2" fontId="15" fillId="0" borderId="54" xfId="1522" applyNumberFormat="1" applyFont="1" applyFill="1" applyBorder="1" applyAlignment="1">
      <alignment horizontal="center" vertical="center"/>
      <protection/>
    </xf>
    <xf numFmtId="2" fontId="15" fillId="0" borderId="21" xfId="1522" applyNumberFormat="1" applyFont="1" applyFill="1" applyBorder="1" applyAlignment="1">
      <alignment horizontal="center" vertical="center"/>
      <protection/>
    </xf>
    <xf numFmtId="2" fontId="1" fillId="25" borderId="55" xfId="1522" applyNumberFormat="1" applyFont="1" applyFill="1" applyBorder="1" applyAlignment="1">
      <alignment horizontal="center" vertical="center"/>
      <protection/>
    </xf>
    <xf numFmtId="2" fontId="1" fillId="25" borderId="11" xfId="1522" applyNumberFormat="1" applyFont="1" applyFill="1" applyBorder="1" applyAlignment="1">
      <alignment horizontal="center" vertical="center"/>
      <protection/>
    </xf>
    <xf numFmtId="2" fontId="1" fillId="25" borderId="51" xfId="1522" applyNumberFormat="1" applyFont="1" applyFill="1" applyBorder="1" applyAlignment="1">
      <alignment horizontal="center" vertical="center"/>
      <protection/>
    </xf>
    <xf numFmtId="1" fontId="17" fillId="25" borderId="43" xfId="1522" applyNumberFormat="1" applyFont="1" applyFill="1" applyBorder="1" applyAlignment="1">
      <alignment horizontal="center"/>
      <protection/>
    </xf>
    <xf numFmtId="164" fontId="1" fillId="25" borderId="26" xfId="1553" applyNumberFormat="1" applyFont="1" applyFill="1" applyBorder="1" applyAlignment="1">
      <alignment horizontal="center" vertical="center"/>
      <protection/>
    </xf>
    <xf numFmtId="1" fontId="17" fillId="25" borderId="16" xfId="1522" applyNumberFormat="1" applyFont="1" applyFill="1" applyBorder="1" applyAlignment="1">
      <alignment horizontal="center"/>
      <protection/>
    </xf>
    <xf numFmtId="164" fontId="1" fillId="0" borderId="16" xfId="1492" applyNumberFormat="1" applyFont="1" applyFill="1" applyBorder="1" applyAlignment="1">
      <alignment horizontal="center" vertical="center"/>
      <protection/>
    </xf>
    <xf numFmtId="2" fontId="1" fillId="25" borderId="56" xfId="1522" applyNumberFormat="1" applyFont="1" applyFill="1" applyBorder="1" applyAlignment="1">
      <alignment horizontal="center" vertical="center"/>
      <protection/>
    </xf>
    <xf numFmtId="2" fontId="1" fillId="24" borderId="13" xfId="1553" applyNumberFormat="1" applyFont="1" applyFill="1" applyBorder="1" applyAlignment="1">
      <alignment horizontal="center" vertical="center"/>
      <protection/>
    </xf>
    <xf numFmtId="0" fontId="15" fillId="0" borderId="0" xfId="1490" applyFont="1" applyBorder="1" applyAlignment="1">
      <alignment horizontal="center" vertical="center" wrapText="1"/>
      <protection/>
    </xf>
    <xf numFmtId="0" fontId="16" fillId="0" borderId="18" xfId="1522" applyFont="1" applyFill="1" applyBorder="1" applyAlignment="1">
      <alignment horizontal="center"/>
      <protection/>
    </xf>
    <xf numFmtId="0" fontId="16" fillId="0" borderId="54" xfId="1522" applyFont="1" applyFill="1" applyBorder="1" applyAlignment="1">
      <alignment horizontal="center"/>
      <protection/>
    </xf>
    <xf numFmtId="0" fontId="16" fillId="0" borderId="21" xfId="1522" applyFont="1" applyFill="1" applyBorder="1" applyAlignment="1">
      <alignment horizontal="center"/>
      <protection/>
    </xf>
    <xf numFmtId="0" fontId="15" fillId="0" borderId="57" xfId="1553" applyFont="1" applyFill="1" applyBorder="1" applyAlignment="1">
      <alignment horizontal="center" vertical="top" wrapText="1"/>
      <protection/>
    </xf>
    <xf numFmtId="0" fontId="15" fillId="0" borderId="58" xfId="1553" applyFont="1" applyFill="1" applyBorder="1" applyAlignment="1">
      <alignment horizontal="center" vertical="top" wrapText="1"/>
      <protection/>
    </xf>
    <xf numFmtId="2" fontId="15" fillId="0" borderId="59" xfId="1553" applyNumberFormat="1" applyFont="1" applyFill="1" applyBorder="1" applyAlignment="1">
      <alignment horizontal="center" vertical="top" wrapText="1"/>
      <protection/>
    </xf>
    <xf numFmtId="2" fontId="15" fillId="0" borderId="60" xfId="1553" applyNumberFormat="1" applyFont="1" applyFill="1" applyBorder="1" applyAlignment="1">
      <alignment horizontal="center" vertical="top" wrapText="1"/>
      <protection/>
    </xf>
    <xf numFmtId="0" fontId="15" fillId="0" borderId="61" xfId="1553" applyFont="1" applyFill="1" applyBorder="1" applyAlignment="1">
      <alignment horizontal="center" vertical="top" wrapText="1"/>
      <protection/>
    </xf>
    <xf numFmtId="0" fontId="15" fillId="0" borderId="25" xfId="1553" applyFont="1" applyFill="1" applyBorder="1" applyAlignment="1">
      <alignment horizontal="center" vertical="top" wrapText="1"/>
      <protection/>
    </xf>
    <xf numFmtId="0" fontId="20" fillId="0" borderId="18" xfId="1522" applyFont="1" applyFill="1" applyBorder="1" applyAlignment="1">
      <alignment horizontal="center"/>
      <protection/>
    </xf>
    <xf numFmtId="0" fontId="20" fillId="0" borderId="54" xfId="1522" applyFont="1" applyFill="1" applyBorder="1" applyAlignment="1">
      <alignment horizontal="center"/>
      <protection/>
    </xf>
    <xf numFmtId="0" fontId="20" fillId="0" borderId="21" xfId="1522" applyFont="1" applyFill="1" applyBorder="1" applyAlignment="1">
      <alignment horizontal="center"/>
      <protection/>
    </xf>
    <xf numFmtId="0" fontId="15" fillId="0" borderId="0" xfId="1553" applyFont="1" applyFill="1" applyBorder="1" applyAlignment="1">
      <alignment horizontal="center" vertical="center"/>
      <protection/>
    </xf>
    <xf numFmtId="0" fontId="17" fillId="0" borderId="62" xfId="1522" applyFont="1" applyFill="1" applyBorder="1" applyAlignment="1">
      <alignment horizontal="center" vertical="top"/>
      <protection/>
    </xf>
    <xf numFmtId="0" fontId="17" fillId="0" borderId="63" xfId="1522" applyFont="1" applyFill="1" applyBorder="1" applyAlignment="1">
      <alignment horizontal="center" vertical="top"/>
      <protection/>
    </xf>
    <xf numFmtId="0" fontId="15" fillId="0" borderId="59" xfId="1553" applyFont="1" applyFill="1" applyBorder="1" applyAlignment="1">
      <alignment horizontal="center" vertical="top"/>
      <protection/>
    </xf>
    <xf numFmtId="0" fontId="15" fillId="0" borderId="60" xfId="1553" applyFont="1" applyFill="1" applyBorder="1" applyAlignment="1">
      <alignment horizontal="center" vertical="top"/>
      <protection/>
    </xf>
    <xf numFmtId="0" fontId="15" fillId="0" borderId="59" xfId="1553" applyFont="1" applyFill="1" applyBorder="1" applyAlignment="1">
      <alignment horizontal="center" vertical="top" wrapText="1"/>
      <protection/>
    </xf>
    <xf numFmtId="0" fontId="15" fillId="0" borderId="60" xfId="1553" applyFont="1" applyFill="1" applyBorder="1" applyAlignment="1">
      <alignment horizontal="center" vertical="top" wrapText="1"/>
      <protection/>
    </xf>
    <xf numFmtId="0" fontId="15" fillId="0" borderId="64" xfId="1553" applyFont="1" applyFill="1" applyBorder="1" applyAlignment="1">
      <alignment horizontal="center" vertical="top" wrapText="1"/>
      <protection/>
    </xf>
    <xf numFmtId="0" fontId="15" fillId="0" borderId="65" xfId="1553" applyFont="1" applyFill="1" applyBorder="1" applyAlignment="1">
      <alignment horizontal="center" vertical="top" wrapText="1"/>
      <protection/>
    </xf>
  </cellXfs>
  <cellStyles count="1814">
    <cellStyle name="Normal" xfId="0"/>
    <cellStyle name="20% - akcent 1" xfId="15"/>
    <cellStyle name="20% - akcent 1 10" xfId="16"/>
    <cellStyle name="20% - akcent 1 11" xfId="17"/>
    <cellStyle name="20% - akcent 1 12" xfId="18"/>
    <cellStyle name="20% - akcent 1 13" xfId="19"/>
    <cellStyle name="20% - akcent 1 14" xfId="20"/>
    <cellStyle name="20% - akcent 1 15" xfId="21"/>
    <cellStyle name="20% - akcent 1 16" xfId="22"/>
    <cellStyle name="20% - akcent 1 17" xfId="23"/>
    <cellStyle name="20% - akcent 1 18" xfId="24"/>
    <cellStyle name="20% - akcent 1 19" xfId="25"/>
    <cellStyle name="20% - akcent 1 2" xfId="26"/>
    <cellStyle name="20% - akcent 1 20" xfId="27"/>
    <cellStyle name="20% - akcent 1 21" xfId="28"/>
    <cellStyle name="20% - akcent 1 22" xfId="29"/>
    <cellStyle name="20% - akcent 1 23" xfId="30"/>
    <cellStyle name="20% - akcent 1 24" xfId="31"/>
    <cellStyle name="20% - akcent 1 25" xfId="32"/>
    <cellStyle name="20% - akcent 1 26" xfId="33"/>
    <cellStyle name="20% - akcent 1 27" xfId="34"/>
    <cellStyle name="20% - akcent 1 28" xfId="35"/>
    <cellStyle name="20% - akcent 1 29" xfId="36"/>
    <cellStyle name="20% - akcent 1 3" xfId="37"/>
    <cellStyle name="20% - akcent 1 30" xfId="38"/>
    <cellStyle name="20% - akcent 1 31" xfId="39"/>
    <cellStyle name="20% - akcent 1 32" xfId="40"/>
    <cellStyle name="20% - akcent 1 33" xfId="41"/>
    <cellStyle name="20% - akcent 1 34" xfId="42"/>
    <cellStyle name="20% - akcent 1 35" xfId="43"/>
    <cellStyle name="20% - akcent 1 36" xfId="44"/>
    <cellStyle name="20% - akcent 1 37" xfId="45"/>
    <cellStyle name="20% - akcent 1 38" xfId="46"/>
    <cellStyle name="20% - akcent 1 39" xfId="47"/>
    <cellStyle name="20% - akcent 1 4" xfId="48"/>
    <cellStyle name="20% - akcent 1 40" xfId="49"/>
    <cellStyle name="20% - akcent 1 41" xfId="50"/>
    <cellStyle name="20% - akcent 1 42" xfId="51"/>
    <cellStyle name="20% - akcent 1 43" xfId="52"/>
    <cellStyle name="20% - akcent 1 5" xfId="53"/>
    <cellStyle name="20% - akcent 1 6" xfId="54"/>
    <cellStyle name="20% - akcent 1 7" xfId="55"/>
    <cellStyle name="20% - akcent 1 8" xfId="56"/>
    <cellStyle name="20% - akcent 1 9" xfId="57"/>
    <cellStyle name="20% - akcent 2" xfId="58"/>
    <cellStyle name="20% - akcent 2 10" xfId="59"/>
    <cellStyle name="20% - akcent 2 11" xfId="60"/>
    <cellStyle name="20% - akcent 2 12" xfId="61"/>
    <cellStyle name="20% - akcent 2 13" xfId="62"/>
    <cellStyle name="20% - akcent 2 14" xfId="63"/>
    <cellStyle name="20% - akcent 2 15" xfId="64"/>
    <cellStyle name="20% - akcent 2 16" xfId="65"/>
    <cellStyle name="20% - akcent 2 17" xfId="66"/>
    <cellStyle name="20% - akcent 2 18" xfId="67"/>
    <cellStyle name="20% - akcent 2 19" xfId="68"/>
    <cellStyle name="20% - akcent 2 2" xfId="69"/>
    <cellStyle name="20% - akcent 2 20" xfId="70"/>
    <cellStyle name="20% - akcent 2 21" xfId="71"/>
    <cellStyle name="20% - akcent 2 22" xfId="72"/>
    <cellStyle name="20% - akcent 2 23" xfId="73"/>
    <cellStyle name="20% - akcent 2 24" xfId="74"/>
    <cellStyle name="20% - akcent 2 25" xfId="75"/>
    <cellStyle name="20% - akcent 2 26" xfId="76"/>
    <cellStyle name="20% - akcent 2 27" xfId="77"/>
    <cellStyle name="20% - akcent 2 28" xfId="78"/>
    <cellStyle name="20% - akcent 2 29" xfId="79"/>
    <cellStyle name="20% - akcent 2 3" xfId="80"/>
    <cellStyle name="20% - akcent 2 30" xfId="81"/>
    <cellStyle name="20% - akcent 2 31" xfId="82"/>
    <cellStyle name="20% - akcent 2 32" xfId="83"/>
    <cellStyle name="20% - akcent 2 33" xfId="84"/>
    <cellStyle name="20% - akcent 2 34" xfId="85"/>
    <cellStyle name="20% - akcent 2 35" xfId="86"/>
    <cellStyle name="20% - akcent 2 36" xfId="87"/>
    <cellStyle name="20% - akcent 2 37" xfId="88"/>
    <cellStyle name="20% - akcent 2 38" xfId="89"/>
    <cellStyle name="20% - akcent 2 39" xfId="90"/>
    <cellStyle name="20% - akcent 2 4" xfId="91"/>
    <cellStyle name="20% - akcent 2 40" xfId="92"/>
    <cellStyle name="20% - akcent 2 41" xfId="93"/>
    <cellStyle name="20% - akcent 2 42" xfId="94"/>
    <cellStyle name="20% - akcent 2 43" xfId="95"/>
    <cellStyle name="20% - akcent 2 5" xfId="96"/>
    <cellStyle name="20% - akcent 2 6" xfId="97"/>
    <cellStyle name="20% - akcent 2 7" xfId="98"/>
    <cellStyle name="20% - akcent 2 8" xfId="99"/>
    <cellStyle name="20% - akcent 2 9" xfId="100"/>
    <cellStyle name="20% - akcent 3" xfId="101"/>
    <cellStyle name="20% - akcent 3 10" xfId="102"/>
    <cellStyle name="20% - akcent 3 11" xfId="103"/>
    <cellStyle name="20% - akcent 3 12" xfId="104"/>
    <cellStyle name="20% - akcent 3 13" xfId="105"/>
    <cellStyle name="20% - akcent 3 14" xfId="106"/>
    <cellStyle name="20% - akcent 3 15" xfId="107"/>
    <cellStyle name="20% - akcent 3 16" xfId="108"/>
    <cellStyle name="20% - akcent 3 17" xfId="109"/>
    <cellStyle name="20% - akcent 3 18" xfId="110"/>
    <cellStyle name="20% - akcent 3 19" xfId="111"/>
    <cellStyle name="20% - akcent 3 2" xfId="112"/>
    <cellStyle name="20% - akcent 3 20" xfId="113"/>
    <cellStyle name="20% - akcent 3 21" xfId="114"/>
    <cellStyle name="20% - akcent 3 22" xfId="115"/>
    <cellStyle name="20% - akcent 3 23" xfId="116"/>
    <cellStyle name="20% - akcent 3 24" xfId="117"/>
    <cellStyle name="20% - akcent 3 25" xfId="118"/>
    <cellStyle name="20% - akcent 3 26" xfId="119"/>
    <cellStyle name="20% - akcent 3 27" xfId="120"/>
    <cellStyle name="20% - akcent 3 28" xfId="121"/>
    <cellStyle name="20% - akcent 3 29" xfId="122"/>
    <cellStyle name="20% - akcent 3 3" xfId="123"/>
    <cellStyle name="20% - akcent 3 30" xfId="124"/>
    <cellStyle name="20% - akcent 3 31" xfId="125"/>
    <cellStyle name="20% - akcent 3 32" xfId="126"/>
    <cellStyle name="20% - akcent 3 33" xfId="127"/>
    <cellStyle name="20% - akcent 3 34" xfId="128"/>
    <cellStyle name="20% - akcent 3 35" xfId="129"/>
    <cellStyle name="20% - akcent 3 36" xfId="130"/>
    <cellStyle name="20% - akcent 3 37" xfId="131"/>
    <cellStyle name="20% - akcent 3 38" xfId="132"/>
    <cellStyle name="20% - akcent 3 39" xfId="133"/>
    <cellStyle name="20% - akcent 3 4" xfId="134"/>
    <cellStyle name="20% - akcent 3 40" xfId="135"/>
    <cellStyle name="20% - akcent 3 41" xfId="136"/>
    <cellStyle name="20% - akcent 3 42" xfId="137"/>
    <cellStyle name="20% - akcent 3 43" xfId="138"/>
    <cellStyle name="20% - akcent 3 5" xfId="139"/>
    <cellStyle name="20% - akcent 3 6" xfId="140"/>
    <cellStyle name="20% - akcent 3 7" xfId="141"/>
    <cellStyle name="20% - akcent 3 8" xfId="142"/>
    <cellStyle name="20% - akcent 3 9" xfId="143"/>
    <cellStyle name="20% - akcent 4" xfId="144"/>
    <cellStyle name="20% - akcent 4 10" xfId="145"/>
    <cellStyle name="20% - akcent 4 11" xfId="146"/>
    <cellStyle name="20% - akcent 4 12" xfId="147"/>
    <cellStyle name="20% - akcent 4 13" xfId="148"/>
    <cellStyle name="20% - akcent 4 14" xfId="149"/>
    <cellStyle name="20% - akcent 4 15" xfId="150"/>
    <cellStyle name="20% - akcent 4 16" xfId="151"/>
    <cellStyle name="20% - akcent 4 17" xfId="152"/>
    <cellStyle name="20% - akcent 4 18" xfId="153"/>
    <cellStyle name="20% - akcent 4 19" xfId="154"/>
    <cellStyle name="20% - akcent 4 2" xfId="155"/>
    <cellStyle name="20% - akcent 4 20" xfId="156"/>
    <cellStyle name="20% - akcent 4 21" xfId="157"/>
    <cellStyle name="20% - akcent 4 22" xfId="158"/>
    <cellStyle name="20% - akcent 4 23" xfId="159"/>
    <cellStyle name="20% - akcent 4 24" xfId="160"/>
    <cellStyle name="20% - akcent 4 25" xfId="161"/>
    <cellStyle name="20% - akcent 4 26" xfId="162"/>
    <cellStyle name="20% - akcent 4 27" xfId="163"/>
    <cellStyle name="20% - akcent 4 28" xfId="164"/>
    <cellStyle name="20% - akcent 4 29" xfId="165"/>
    <cellStyle name="20% - akcent 4 3" xfId="166"/>
    <cellStyle name="20% - akcent 4 30" xfId="167"/>
    <cellStyle name="20% - akcent 4 31" xfId="168"/>
    <cellStyle name="20% - akcent 4 32" xfId="169"/>
    <cellStyle name="20% - akcent 4 33" xfId="170"/>
    <cellStyle name="20% - akcent 4 34" xfId="171"/>
    <cellStyle name="20% - akcent 4 35" xfId="172"/>
    <cellStyle name="20% - akcent 4 36" xfId="173"/>
    <cellStyle name="20% - akcent 4 37" xfId="174"/>
    <cellStyle name="20% - akcent 4 38" xfId="175"/>
    <cellStyle name="20% - akcent 4 39" xfId="176"/>
    <cellStyle name="20% - akcent 4 4" xfId="177"/>
    <cellStyle name="20% - akcent 4 40" xfId="178"/>
    <cellStyle name="20% - akcent 4 41" xfId="179"/>
    <cellStyle name="20% - akcent 4 42" xfId="180"/>
    <cellStyle name="20% - akcent 4 43" xfId="181"/>
    <cellStyle name="20% - akcent 4 5" xfId="182"/>
    <cellStyle name="20% - akcent 4 6" xfId="183"/>
    <cellStyle name="20% - akcent 4 7" xfId="184"/>
    <cellStyle name="20% - akcent 4 8" xfId="185"/>
    <cellStyle name="20% - akcent 4 9" xfId="186"/>
    <cellStyle name="20% - akcent 5" xfId="187"/>
    <cellStyle name="20% - akcent 5 10" xfId="188"/>
    <cellStyle name="20% - akcent 5 11" xfId="189"/>
    <cellStyle name="20% - akcent 5 12" xfId="190"/>
    <cellStyle name="20% - akcent 5 13" xfId="191"/>
    <cellStyle name="20% - akcent 5 14" xfId="192"/>
    <cellStyle name="20% - akcent 5 15" xfId="193"/>
    <cellStyle name="20% - akcent 5 16" xfId="194"/>
    <cellStyle name="20% - akcent 5 17" xfId="195"/>
    <cellStyle name="20% - akcent 5 18" xfId="196"/>
    <cellStyle name="20% - akcent 5 19" xfId="197"/>
    <cellStyle name="20% - akcent 5 2" xfId="198"/>
    <cellStyle name="20% - akcent 5 20" xfId="199"/>
    <cellStyle name="20% - akcent 5 21" xfId="200"/>
    <cellStyle name="20% - akcent 5 22" xfId="201"/>
    <cellStyle name="20% - akcent 5 23" xfId="202"/>
    <cellStyle name="20% - akcent 5 24" xfId="203"/>
    <cellStyle name="20% - akcent 5 25" xfId="204"/>
    <cellStyle name="20% - akcent 5 26" xfId="205"/>
    <cellStyle name="20% - akcent 5 27" xfId="206"/>
    <cellStyle name="20% - akcent 5 28" xfId="207"/>
    <cellStyle name="20% - akcent 5 29" xfId="208"/>
    <cellStyle name="20% - akcent 5 3" xfId="209"/>
    <cellStyle name="20% - akcent 5 30" xfId="210"/>
    <cellStyle name="20% - akcent 5 31" xfId="211"/>
    <cellStyle name="20% - akcent 5 32" xfId="212"/>
    <cellStyle name="20% - akcent 5 33" xfId="213"/>
    <cellStyle name="20% - akcent 5 34" xfId="214"/>
    <cellStyle name="20% - akcent 5 35" xfId="215"/>
    <cellStyle name="20% - akcent 5 36" xfId="216"/>
    <cellStyle name="20% - akcent 5 37" xfId="217"/>
    <cellStyle name="20% - akcent 5 38" xfId="218"/>
    <cellStyle name="20% - akcent 5 39" xfId="219"/>
    <cellStyle name="20% - akcent 5 4" xfId="220"/>
    <cellStyle name="20% - akcent 5 40" xfId="221"/>
    <cellStyle name="20% - akcent 5 41" xfId="222"/>
    <cellStyle name="20% - akcent 5 42" xfId="223"/>
    <cellStyle name="20% - akcent 5 43" xfId="224"/>
    <cellStyle name="20% - akcent 5 5" xfId="225"/>
    <cellStyle name="20% - akcent 5 6" xfId="226"/>
    <cellStyle name="20% - akcent 5 7" xfId="227"/>
    <cellStyle name="20% - akcent 5 8" xfId="228"/>
    <cellStyle name="20% - akcent 5 9" xfId="229"/>
    <cellStyle name="20% - akcent 6" xfId="230"/>
    <cellStyle name="20% - akcent 6 10" xfId="231"/>
    <cellStyle name="20% - akcent 6 11" xfId="232"/>
    <cellStyle name="20% - akcent 6 12" xfId="233"/>
    <cellStyle name="20% - akcent 6 13" xfId="234"/>
    <cellStyle name="20% - akcent 6 14" xfId="235"/>
    <cellStyle name="20% - akcent 6 15" xfId="236"/>
    <cellStyle name="20% - akcent 6 16" xfId="237"/>
    <cellStyle name="20% - akcent 6 17" xfId="238"/>
    <cellStyle name="20% - akcent 6 18" xfId="239"/>
    <cellStyle name="20% - akcent 6 19" xfId="240"/>
    <cellStyle name="20% - akcent 6 2" xfId="241"/>
    <cellStyle name="20% - akcent 6 20" xfId="242"/>
    <cellStyle name="20% - akcent 6 21" xfId="243"/>
    <cellStyle name="20% - akcent 6 22" xfId="244"/>
    <cellStyle name="20% - akcent 6 23" xfId="245"/>
    <cellStyle name="20% - akcent 6 24" xfId="246"/>
    <cellStyle name="20% - akcent 6 25" xfId="247"/>
    <cellStyle name="20% - akcent 6 26" xfId="248"/>
    <cellStyle name="20% - akcent 6 27" xfId="249"/>
    <cellStyle name="20% - akcent 6 28" xfId="250"/>
    <cellStyle name="20% - akcent 6 29" xfId="251"/>
    <cellStyle name="20% - akcent 6 3" xfId="252"/>
    <cellStyle name="20% - akcent 6 30" xfId="253"/>
    <cellStyle name="20% - akcent 6 31" xfId="254"/>
    <cellStyle name="20% - akcent 6 32" xfId="255"/>
    <cellStyle name="20% - akcent 6 33" xfId="256"/>
    <cellStyle name="20% - akcent 6 34" xfId="257"/>
    <cellStyle name="20% - akcent 6 35" xfId="258"/>
    <cellStyle name="20% - akcent 6 36" xfId="259"/>
    <cellStyle name="20% - akcent 6 37" xfId="260"/>
    <cellStyle name="20% - akcent 6 38" xfId="261"/>
    <cellStyle name="20% - akcent 6 39" xfId="262"/>
    <cellStyle name="20% - akcent 6 4" xfId="263"/>
    <cellStyle name="20% - akcent 6 40" xfId="264"/>
    <cellStyle name="20% - akcent 6 41" xfId="265"/>
    <cellStyle name="20% - akcent 6 42" xfId="266"/>
    <cellStyle name="20% - akcent 6 43" xfId="267"/>
    <cellStyle name="20% - akcent 6 5" xfId="268"/>
    <cellStyle name="20% - akcent 6 6" xfId="269"/>
    <cellStyle name="20% - akcent 6 7" xfId="270"/>
    <cellStyle name="20% - akcent 6 8" xfId="271"/>
    <cellStyle name="20% - akcent 6 9" xfId="272"/>
    <cellStyle name="40% - akcent 1" xfId="273"/>
    <cellStyle name="40% - akcent 1 10" xfId="274"/>
    <cellStyle name="40% - akcent 1 11" xfId="275"/>
    <cellStyle name="40% - akcent 1 12" xfId="276"/>
    <cellStyle name="40% - akcent 1 13" xfId="277"/>
    <cellStyle name="40% - akcent 1 14" xfId="278"/>
    <cellStyle name="40% - akcent 1 15" xfId="279"/>
    <cellStyle name="40% - akcent 1 16" xfId="280"/>
    <cellStyle name="40% - akcent 1 17" xfId="281"/>
    <cellStyle name="40% - akcent 1 18" xfId="282"/>
    <cellStyle name="40% - akcent 1 19" xfId="283"/>
    <cellStyle name="40% - akcent 1 2" xfId="284"/>
    <cellStyle name="40% - akcent 1 20" xfId="285"/>
    <cellStyle name="40% - akcent 1 21" xfId="286"/>
    <cellStyle name="40% - akcent 1 22" xfId="287"/>
    <cellStyle name="40% - akcent 1 23" xfId="288"/>
    <cellStyle name="40% - akcent 1 24" xfId="289"/>
    <cellStyle name="40% - akcent 1 25" xfId="290"/>
    <cellStyle name="40% - akcent 1 26" xfId="291"/>
    <cellStyle name="40% - akcent 1 27" xfId="292"/>
    <cellStyle name="40% - akcent 1 28" xfId="293"/>
    <cellStyle name="40% - akcent 1 29" xfId="294"/>
    <cellStyle name="40% - akcent 1 3" xfId="295"/>
    <cellStyle name="40% - akcent 1 30" xfId="296"/>
    <cellStyle name="40% - akcent 1 31" xfId="297"/>
    <cellStyle name="40% - akcent 1 32" xfId="298"/>
    <cellStyle name="40% - akcent 1 33" xfId="299"/>
    <cellStyle name="40% - akcent 1 34" xfId="300"/>
    <cellStyle name="40% - akcent 1 35" xfId="301"/>
    <cellStyle name="40% - akcent 1 36" xfId="302"/>
    <cellStyle name="40% - akcent 1 37" xfId="303"/>
    <cellStyle name="40% - akcent 1 38" xfId="304"/>
    <cellStyle name="40% - akcent 1 39" xfId="305"/>
    <cellStyle name="40% - akcent 1 4" xfId="306"/>
    <cellStyle name="40% - akcent 1 40" xfId="307"/>
    <cellStyle name="40% - akcent 1 41" xfId="308"/>
    <cellStyle name="40% - akcent 1 42" xfId="309"/>
    <cellStyle name="40% - akcent 1 43" xfId="310"/>
    <cellStyle name="40% - akcent 1 5" xfId="311"/>
    <cellStyle name="40% - akcent 1 6" xfId="312"/>
    <cellStyle name="40% - akcent 1 7" xfId="313"/>
    <cellStyle name="40% - akcent 1 8" xfId="314"/>
    <cellStyle name="40% - akcent 1 9" xfId="315"/>
    <cellStyle name="40% - akcent 2" xfId="316"/>
    <cellStyle name="40% - akcent 2 10" xfId="317"/>
    <cellStyle name="40% - akcent 2 11" xfId="318"/>
    <cellStyle name="40% - akcent 2 12" xfId="319"/>
    <cellStyle name="40% - akcent 2 13" xfId="320"/>
    <cellStyle name="40% - akcent 2 14" xfId="321"/>
    <cellStyle name="40% - akcent 2 15" xfId="322"/>
    <cellStyle name="40% - akcent 2 16" xfId="323"/>
    <cellStyle name="40% - akcent 2 17" xfId="324"/>
    <cellStyle name="40% - akcent 2 18" xfId="325"/>
    <cellStyle name="40% - akcent 2 19" xfId="326"/>
    <cellStyle name="40% - akcent 2 2" xfId="327"/>
    <cellStyle name="40% - akcent 2 20" xfId="328"/>
    <cellStyle name="40% - akcent 2 21" xfId="329"/>
    <cellStyle name="40% - akcent 2 22" xfId="330"/>
    <cellStyle name="40% - akcent 2 23" xfId="331"/>
    <cellStyle name="40% - akcent 2 24" xfId="332"/>
    <cellStyle name="40% - akcent 2 25" xfId="333"/>
    <cellStyle name="40% - akcent 2 26" xfId="334"/>
    <cellStyle name="40% - akcent 2 27" xfId="335"/>
    <cellStyle name="40% - akcent 2 28" xfId="336"/>
    <cellStyle name="40% - akcent 2 29" xfId="337"/>
    <cellStyle name="40% - akcent 2 3" xfId="338"/>
    <cellStyle name="40% - akcent 2 30" xfId="339"/>
    <cellStyle name="40% - akcent 2 31" xfId="340"/>
    <cellStyle name="40% - akcent 2 32" xfId="341"/>
    <cellStyle name="40% - akcent 2 33" xfId="342"/>
    <cellStyle name="40% - akcent 2 34" xfId="343"/>
    <cellStyle name="40% - akcent 2 35" xfId="344"/>
    <cellStyle name="40% - akcent 2 36" xfId="345"/>
    <cellStyle name="40% - akcent 2 37" xfId="346"/>
    <cellStyle name="40% - akcent 2 38" xfId="347"/>
    <cellStyle name="40% - akcent 2 39" xfId="348"/>
    <cellStyle name="40% - akcent 2 4" xfId="349"/>
    <cellStyle name="40% - akcent 2 40" xfId="350"/>
    <cellStyle name="40% - akcent 2 41" xfId="351"/>
    <cellStyle name="40% - akcent 2 42" xfId="352"/>
    <cellStyle name="40% - akcent 2 43" xfId="353"/>
    <cellStyle name="40% - akcent 2 5" xfId="354"/>
    <cellStyle name="40% - akcent 2 6" xfId="355"/>
    <cellStyle name="40% - akcent 2 7" xfId="356"/>
    <cellStyle name="40% - akcent 2 8" xfId="357"/>
    <cellStyle name="40% - akcent 2 9" xfId="358"/>
    <cellStyle name="40% - akcent 3" xfId="359"/>
    <cellStyle name="40% - akcent 3 10" xfId="360"/>
    <cellStyle name="40% - akcent 3 11" xfId="361"/>
    <cellStyle name="40% - akcent 3 12" xfId="362"/>
    <cellStyle name="40% - akcent 3 13" xfId="363"/>
    <cellStyle name="40% - akcent 3 14" xfId="364"/>
    <cellStyle name="40% - akcent 3 15" xfId="365"/>
    <cellStyle name="40% - akcent 3 16" xfId="366"/>
    <cellStyle name="40% - akcent 3 17" xfId="367"/>
    <cellStyle name="40% - akcent 3 18" xfId="368"/>
    <cellStyle name="40% - akcent 3 19" xfId="369"/>
    <cellStyle name="40% - akcent 3 2" xfId="370"/>
    <cellStyle name="40% - akcent 3 20" xfId="371"/>
    <cellStyle name="40% - akcent 3 21" xfId="372"/>
    <cellStyle name="40% - akcent 3 22" xfId="373"/>
    <cellStyle name="40% - akcent 3 23" xfId="374"/>
    <cellStyle name="40% - akcent 3 24" xfId="375"/>
    <cellStyle name="40% - akcent 3 25" xfId="376"/>
    <cellStyle name="40% - akcent 3 26" xfId="377"/>
    <cellStyle name="40% - akcent 3 27" xfId="378"/>
    <cellStyle name="40% - akcent 3 28" xfId="379"/>
    <cellStyle name="40% - akcent 3 29" xfId="380"/>
    <cellStyle name="40% - akcent 3 3" xfId="381"/>
    <cellStyle name="40% - akcent 3 30" xfId="382"/>
    <cellStyle name="40% - akcent 3 31" xfId="383"/>
    <cellStyle name="40% - akcent 3 32" xfId="384"/>
    <cellStyle name="40% - akcent 3 33" xfId="385"/>
    <cellStyle name="40% - akcent 3 34" xfId="386"/>
    <cellStyle name="40% - akcent 3 35" xfId="387"/>
    <cellStyle name="40% - akcent 3 36" xfId="388"/>
    <cellStyle name="40% - akcent 3 37" xfId="389"/>
    <cellStyle name="40% - akcent 3 38" xfId="390"/>
    <cellStyle name="40% - akcent 3 39" xfId="391"/>
    <cellStyle name="40% - akcent 3 4" xfId="392"/>
    <cellStyle name="40% - akcent 3 40" xfId="393"/>
    <cellStyle name="40% - akcent 3 41" xfId="394"/>
    <cellStyle name="40% - akcent 3 42" xfId="395"/>
    <cellStyle name="40% - akcent 3 43" xfId="396"/>
    <cellStyle name="40% - akcent 3 5" xfId="397"/>
    <cellStyle name="40% - akcent 3 6" xfId="398"/>
    <cellStyle name="40% - akcent 3 7" xfId="399"/>
    <cellStyle name="40% - akcent 3 8" xfId="400"/>
    <cellStyle name="40% - akcent 3 9" xfId="401"/>
    <cellStyle name="40% - akcent 4" xfId="402"/>
    <cellStyle name="40% - akcent 4 10" xfId="403"/>
    <cellStyle name="40% - akcent 4 11" xfId="404"/>
    <cellStyle name="40% - akcent 4 12" xfId="405"/>
    <cellStyle name="40% - akcent 4 13" xfId="406"/>
    <cellStyle name="40% - akcent 4 14" xfId="407"/>
    <cellStyle name="40% - akcent 4 15" xfId="408"/>
    <cellStyle name="40% - akcent 4 16" xfId="409"/>
    <cellStyle name="40% - akcent 4 17" xfId="410"/>
    <cellStyle name="40% - akcent 4 18" xfId="411"/>
    <cellStyle name="40% - akcent 4 19" xfId="412"/>
    <cellStyle name="40% - akcent 4 2" xfId="413"/>
    <cellStyle name="40% - akcent 4 20" xfId="414"/>
    <cellStyle name="40% - akcent 4 21" xfId="415"/>
    <cellStyle name="40% - akcent 4 22" xfId="416"/>
    <cellStyle name="40% - akcent 4 23" xfId="417"/>
    <cellStyle name="40% - akcent 4 24" xfId="418"/>
    <cellStyle name="40% - akcent 4 25" xfId="419"/>
    <cellStyle name="40% - akcent 4 26" xfId="420"/>
    <cellStyle name="40% - akcent 4 27" xfId="421"/>
    <cellStyle name="40% - akcent 4 28" xfId="422"/>
    <cellStyle name="40% - akcent 4 29" xfId="423"/>
    <cellStyle name="40% - akcent 4 3" xfId="424"/>
    <cellStyle name="40% - akcent 4 30" xfId="425"/>
    <cellStyle name="40% - akcent 4 31" xfId="426"/>
    <cellStyle name="40% - akcent 4 32" xfId="427"/>
    <cellStyle name="40% - akcent 4 33" xfId="428"/>
    <cellStyle name="40% - akcent 4 34" xfId="429"/>
    <cellStyle name="40% - akcent 4 35" xfId="430"/>
    <cellStyle name="40% - akcent 4 36" xfId="431"/>
    <cellStyle name="40% - akcent 4 37" xfId="432"/>
    <cellStyle name="40% - akcent 4 38" xfId="433"/>
    <cellStyle name="40% - akcent 4 39" xfId="434"/>
    <cellStyle name="40% - akcent 4 4" xfId="435"/>
    <cellStyle name="40% - akcent 4 40" xfId="436"/>
    <cellStyle name="40% - akcent 4 41" xfId="437"/>
    <cellStyle name="40% - akcent 4 42" xfId="438"/>
    <cellStyle name="40% - akcent 4 43" xfId="439"/>
    <cellStyle name="40% - akcent 4 5" xfId="440"/>
    <cellStyle name="40% - akcent 4 6" xfId="441"/>
    <cellStyle name="40% - akcent 4 7" xfId="442"/>
    <cellStyle name="40% - akcent 4 8" xfId="443"/>
    <cellStyle name="40% - akcent 4 9" xfId="444"/>
    <cellStyle name="40% - akcent 5" xfId="445"/>
    <cellStyle name="40% - akcent 5 10" xfId="446"/>
    <cellStyle name="40% - akcent 5 11" xfId="447"/>
    <cellStyle name="40% - akcent 5 12" xfId="448"/>
    <cellStyle name="40% - akcent 5 13" xfId="449"/>
    <cellStyle name="40% - akcent 5 14" xfId="450"/>
    <cellStyle name="40% - akcent 5 15" xfId="451"/>
    <cellStyle name="40% - akcent 5 16" xfId="452"/>
    <cellStyle name="40% - akcent 5 17" xfId="453"/>
    <cellStyle name="40% - akcent 5 18" xfId="454"/>
    <cellStyle name="40% - akcent 5 19" xfId="455"/>
    <cellStyle name="40% - akcent 5 2" xfId="456"/>
    <cellStyle name="40% - akcent 5 20" xfId="457"/>
    <cellStyle name="40% - akcent 5 21" xfId="458"/>
    <cellStyle name="40% - akcent 5 22" xfId="459"/>
    <cellStyle name="40% - akcent 5 23" xfId="460"/>
    <cellStyle name="40% - akcent 5 24" xfId="461"/>
    <cellStyle name="40% - akcent 5 25" xfId="462"/>
    <cellStyle name="40% - akcent 5 26" xfId="463"/>
    <cellStyle name="40% - akcent 5 27" xfId="464"/>
    <cellStyle name="40% - akcent 5 28" xfId="465"/>
    <cellStyle name="40% - akcent 5 29" xfId="466"/>
    <cellStyle name="40% - akcent 5 3" xfId="467"/>
    <cellStyle name="40% - akcent 5 30" xfId="468"/>
    <cellStyle name="40% - akcent 5 31" xfId="469"/>
    <cellStyle name="40% - akcent 5 32" xfId="470"/>
    <cellStyle name="40% - akcent 5 33" xfId="471"/>
    <cellStyle name="40% - akcent 5 34" xfId="472"/>
    <cellStyle name="40% - akcent 5 35" xfId="473"/>
    <cellStyle name="40% - akcent 5 36" xfId="474"/>
    <cellStyle name="40% - akcent 5 37" xfId="475"/>
    <cellStyle name="40% - akcent 5 38" xfId="476"/>
    <cellStyle name="40% - akcent 5 39" xfId="477"/>
    <cellStyle name="40% - akcent 5 4" xfId="478"/>
    <cellStyle name="40% - akcent 5 40" xfId="479"/>
    <cellStyle name="40% - akcent 5 41" xfId="480"/>
    <cellStyle name="40% - akcent 5 42" xfId="481"/>
    <cellStyle name="40% - akcent 5 43" xfId="482"/>
    <cellStyle name="40% - akcent 5 5" xfId="483"/>
    <cellStyle name="40% - akcent 5 6" xfId="484"/>
    <cellStyle name="40% - akcent 5 7" xfId="485"/>
    <cellStyle name="40% - akcent 5 8" xfId="486"/>
    <cellStyle name="40% - akcent 5 9" xfId="487"/>
    <cellStyle name="40% - akcent 6" xfId="488"/>
    <cellStyle name="40% - akcent 6 10" xfId="489"/>
    <cellStyle name="40% - akcent 6 11" xfId="490"/>
    <cellStyle name="40% - akcent 6 12" xfId="491"/>
    <cellStyle name="40% - akcent 6 13" xfId="492"/>
    <cellStyle name="40% - akcent 6 14" xfId="493"/>
    <cellStyle name="40% - akcent 6 15" xfId="494"/>
    <cellStyle name="40% - akcent 6 16" xfId="495"/>
    <cellStyle name="40% - akcent 6 17" xfId="496"/>
    <cellStyle name="40% - akcent 6 18" xfId="497"/>
    <cellStyle name="40% - akcent 6 19" xfId="498"/>
    <cellStyle name="40% - akcent 6 2" xfId="499"/>
    <cellStyle name="40% - akcent 6 20" xfId="500"/>
    <cellStyle name="40% - akcent 6 21" xfId="501"/>
    <cellStyle name="40% - akcent 6 22" xfId="502"/>
    <cellStyle name="40% - akcent 6 23" xfId="503"/>
    <cellStyle name="40% - akcent 6 24" xfId="504"/>
    <cellStyle name="40% - akcent 6 25" xfId="505"/>
    <cellStyle name="40% - akcent 6 26" xfId="506"/>
    <cellStyle name="40% - akcent 6 27" xfId="507"/>
    <cellStyle name="40% - akcent 6 28" xfId="508"/>
    <cellStyle name="40% - akcent 6 29" xfId="509"/>
    <cellStyle name="40% - akcent 6 3" xfId="510"/>
    <cellStyle name="40% - akcent 6 30" xfId="511"/>
    <cellStyle name="40% - akcent 6 31" xfId="512"/>
    <cellStyle name="40% - akcent 6 32" xfId="513"/>
    <cellStyle name="40% - akcent 6 33" xfId="514"/>
    <cellStyle name="40% - akcent 6 34" xfId="515"/>
    <cellStyle name="40% - akcent 6 35" xfId="516"/>
    <cellStyle name="40% - akcent 6 36" xfId="517"/>
    <cellStyle name="40% - akcent 6 37" xfId="518"/>
    <cellStyle name="40% - akcent 6 38" xfId="519"/>
    <cellStyle name="40% - akcent 6 39" xfId="520"/>
    <cellStyle name="40% - akcent 6 4" xfId="521"/>
    <cellStyle name="40% - akcent 6 40" xfId="522"/>
    <cellStyle name="40% - akcent 6 41" xfId="523"/>
    <cellStyle name="40% - akcent 6 42" xfId="524"/>
    <cellStyle name="40% - akcent 6 43" xfId="525"/>
    <cellStyle name="40% - akcent 6 5" xfId="526"/>
    <cellStyle name="40% - akcent 6 6" xfId="527"/>
    <cellStyle name="40% - akcent 6 7" xfId="528"/>
    <cellStyle name="40% - akcent 6 8" xfId="529"/>
    <cellStyle name="40% - akcent 6 9" xfId="530"/>
    <cellStyle name="60% - akcent 1" xfId="531"/>
    <cellStyle name="60% - akcent 1 10" xfId="532"/>
    <cellStyle name="60% - akcent 1 11" xfId="533"/>
    <cellStyle name="60% - akcent 1 12" xfId="534"/>
    <cellStyle name="60% - akcent 1 13" xfId="535"/>
    <cellStyle name="60% - akcent 1 14" xfId="536"/>
    <cellStyle name="60% - akcent 1 15" xfId="537"/>
    <cellStyle name="60% - akcent 1 16" xfId="538"/>
    <cellStyle name="60% - akcent 1 17" xfId="539"/>
    <cellStyle name="60% - akcent 1 18" xfId="540"/>
    <cellStyle name="60% - akcent 1 19" xfId="541"/>
    <cellStyle name="60% - akcent 1 2" xfId="542"/>
    <cellStyle name="60% - akcent 1 20" xfId="543"/>
    <cellStyle name="60% - akcent 1 21" xfId="544"/>
    <cellStyle name="60% - akcent 1 22" xfId="545"/>
    <cellStyle name="60% - akcent 1 23" xfId="546"/>
    <cellStyle name="60% - akcent 1 24" xfId="547"/>
    <cellStyle name="60% - akcent 1 25" xfId="548"/>
    <cellStyle name="60% - akcent 1 26" xfId="549"/>
    <cellStyle name="60% - akcent 1 27" xfId="550"/>
    <cellStyle name="60% - akcent 1 28" xfId="551"/>
    <cellStyle name="60% - akcent 1 29" xfId="552"/>
    <cellStyle name="60% - akcent 1 3" xfId="553"/>
    <cellStyle name="60% - akcent 1 30" xfId="554"/>
    <cellStyle name="60% - akcent 1 31" xfId="555"/>
    <cellStyle name="60% - akcent 1 32" xfId="556"/>
    <cellStyle name="60% - akcent 1 33" xfId="557"/>
    <cellStyle name="60% - akcent 1 34" xfId="558"/>
    <cellStyle name="60% - akcent 1 35" xfId="559"/>
    <cellStyle name="60% - akcent 1 36" xfId="560"/>
    <cellStyle name="60% - akcent 1 37" xfId="561"/>
    <cellStyle name="60% - akcent 1 38" xfId="562"/>
    <cellStyle name="60% - akcent 1 39" xfId="563"/>
    <cellStyle name="60% - akcent 1 4" xfId="564"/>
    <cellStyle name="60% - akcent 1 40" xfId="565"/>
    <cellStyle name="60% - akcent 1 41" xfId="566"/>
    <cellStyle name="60% - akcent 1 42" xfId="567"/>
    <cellStyle name="60% - akcent 1 43" xfId="568"/>
    <cellStyle name="60% - akcent 1 5" xfId="569"/>
    <cellStyle name="60% - akcent 1 6" xfId="570"/>
    <cellStyle name="60% - akcent 1 7" xfId="571"/>
    <cellStyle name="60% - akcent 1 8" xfId="572"/>
    <cellStyle name="60% - akcent 1 9" xfId="573"/>
    <cellStyle name="60% - akcent 2" xfId="574"/>
    <cellStyle name="60% - akcent 2 10" xfId="575"/>
    <cellStyle name="60% - akcent 2 11" xfId="576"/>
    <cellStyle name="60% - akcent 2 12" xfId="577"/>
    <cellStyle name="60% - akcent 2 13" xfId="578"/>
    <cellStyle name="60% - akcent 2 14" xfId="579"/>
    <cellStyle name="60% - akcent 2 15" xfId="580"/>
    <cellStyle name="60% - akcent 2 16" xfId="581"/>
    <cellStyle name="60% - akcent 2 17" xfId="582"/>
    <cellStyle name="60% - akcent 2 18" xfId="583"/>
    <cellStyle name="60% - akcent 2 19" xfId="584"/>
    <cellStyle name="60% - akcent 2 2" xfId="585"/>
    <cellStyle name="60% - akcent 2 20" xfId="586"/>
    <cellStyle name="60% - akcent 2 21" xfId="587"/>
    <cellStyle name="60% - akcent 2 22" xfId="588"/>
    <cellStyle name="60% - akcent 2 23" xfId="589"/>
    <cellStyle name="60% - akcent 2 24" xfId="590"/>
    <cellStyle name="60% - akcent 2 25" xfId="591"/>
    <cellStyle name="60% - akcent 2 26" xfId="592"/>
    <cellStyle name="60% - akcent 2 27" xfId="593"/>
    <cellStyle name="60% - akcent 2 28" xfId="594"/>
    <cellStyle name="60% - akcent 2 29" xfId="595"/>
    <cellStyle name="60% - akcent 2 3" xfId="596"/>
    <cellStyle name="60% - akcent 2 30" xfId="597"/>
    <cellStyle name="60% - akcent 2 31" xfId="598"/>
    <cellStyle name="60% - akcent 2 32" xfId="599"/>
    <cellStyle name="60% - akcent 2 33" xfId="600"/>
    <cellStyle name="60% - akcent 2 34" xfId="601"/>
    <cellStyle name="60% - akcent 2 35" xfId="602"/>
    <cellStyle name="60% - akcent 2 36" xfId="603"/>
    <cellStyle name="60% - akcent 2 37" xfId="604"/>
    <cellStyle name="60% - akcent 2 38" xfId="605"/>
    <cellStyle name="60% - akcent 2 39" xfId="606"/>
    <cellStyle name="60% - akcent 2 4" xfId="607"/>
    <cellStyle name="60% - akcent 2 40" xfId="608"/>
    <cellStyle name="60% - akcent 2 41" xfId="609"/>
    <cellStyle name="60% - akcent 2 42" xfId="610"/>
    <cellStyle name="60% - akcent 2 43" xfId="611"/>
    <cellStyle name="60% - akcent 2 5" xfId="612"/>
    <cellStyle name="60% - akcent 2 6" xfId="613"/>
    <cellStyle name="60% - akcent 2 7" xfId="614"/>
    <cellStyle name="60% - akcent 2 8" xfId="615"/>
    <cellStyle name="60% - akcent 2 9" xfId="616"/>
    <cellStyle name="60% - akcent 3" xfId="617"/>
    <cellStyle name="60% - akcent 3 10" xfId="618"/>
    <cellStyle name="60% - akcent 3 11" xfId="619"/>
    <cellStyle name="60% - akcent 3 12" xfId="620"/>
    <cellStyle name="60% - akcent 3 13" xfId="621"/>
    <cellStyle name="60% - akcent 3 14" xfId="622"/>
    <cellStyle name="60% - akcent 3 15" xfId="623"/>
    <cellStyle name="60% - akcent 3 16" xfId="624"/>
    <cellStyle name="60% - akcent 3 17" xfId="625"/>
    <cellStyle name="60% - akcent 3 18" xfId="626"/>
    <cellStyle name="60% - akcent 3 19" xfId="627"/>
    <cellStyle name="60% - akcent 3 2" xfId="628"/>
    <cellStyle name="60% - akcent 3 20" xfId="629"/>
    <cellStyle name="60% - akcent 3 21" xfId="630"/>
    <cellStyle name="60% - akcent 3 22" xfId="631"/>
    <cellStyle name="60% - akcent 3 23" xfId="632"/>
    <cellStyle name="60% - akcent 3 24" xfId="633"/>
    <cellStyle name="60% - akcent 3 25" xfId="634"/>
    <cellStyle name="60% - akcent 3 26" xfId="635"/>
    <cellStyle name="60% - akcent 3 27" xfId="636"/>
    <cellStyle name="60% - akcent 3 28" xfId="637"/>
    <cellStyle name="60% - akcent 3 29" xfId="638"/>
    <cellStyle name="60% - akcent 3 3" xfId="639"/>
    <cellStyle name="60% - akcent 3 30" xfId="640"/>
    <cellStyle name="60% - akcent 3 31" xfId="641"/>
    <cellStyle name="60% - akcent 3 32" xfId="642"/>
    <cellStyle name="60% - akcent 3 33" xfId="643"/>
    <cellStyle name="60% - akcent 3 34" xfId="644"/>
    <cellStyle name="60% - akcent 3 35" xfId="645"/>
    <cellStyle name="60% - akcent 3 36" xfId="646"/>
    <cellStyle name="60% - akcent 3 37" xfId="647"/>
    <cellStyle name="60% - akcent 3 38" xfId="648"/>
    <cellStyle name="60% - akcent 3 39" xfId="649"/>
    <cellStyle name="60% - akcent 3 4" xfId="650"/>
    <cellStyle name="60% - akcent 3 40" xfId="651"/>
    <cellStyle name="60% - akcent 3 41" xfId="652"/>
    <cellStyle name="60% - akcent 3 42" xfId="653"/>
    <cellStyle name="60% - akcent 3 43" xfId="654"/>
    <cellStyle name="60% - akcent 3 5" xfId="655"/>
    <cellStyle name="60% - akcent 3 6" xfId="656"/>
    <cellStyle name="60% - akcent 3 7" xfId="657"/>
    <cellStyle name="60% - akcent 3 8" xfId="658"/>
    <cellStyle name="60% - akcent 3 9" xfId="659"/>
    <cellStyle name="60% - akcent 4" xfId="660"/>
    <cellStyle name="60% - akcent 4 10" xfId="661"/>
    <cellStyle name="60% - akcent 4 11" xfId="662"/>
    <cellStyle name="60% - akcent 4 12" xfId="663"/>
    <cellStyle name="60% - akcent 4 13" xfId="664"/>
    <cellStyle name="60% - akcent 4 14" xfId="665"/>
    <cellStyle name="60% - akcent 4 15" xfId="666"/>
    <cellStyle name="60% - akcent 4 16" xfId="667"/>
    <cellStyle name="60% - akcent 4 17" xfId="668"/>
    <cellStyle name="60% - akcent 4 18" xfId="669"/>
    <cellStyle name="60% - akcent 4 19" xfId="670"/>
    <cellStyle name="60% - akcent 4 2" xfId="671"/>
    <cellStyle name="60% - akcent 4 20" xfId="672"/>
    <cellStyle name="60% - akcent 4 21" xfId="673"/>
    <cellStyle name="60% - akcent 4 22" xfId="674"/>
    <cellStyle name="60% - akcent 4 23" xfId="675"/>
    <cellStyle name="60% - akcent 4 24" xfId="676"/>
    <cellStyle name="60% - akcent 4 25" xfId="677"/>
    <cellStyle name="60% - akcent 4 26" xfId="678"/>
    <cellStyle name="60% - akcent 4 27" xfId="679"/>
    <cellStyle name="60% - akcent 4 28" xfId="680"/>
    <cellStyle name="60% - akcent 4 29" xfId="681"/>
    <cellStyle name="60% - akcent 4 3" xfId="682"/>
    <cellStyle name="60% - akcent 4 30" xfId="683"/>
    <cellStyle name="60% - akcent 4 31" xfId="684"/>
    <cellStyle name="60% - akcent 4 32" xfId="685"/>
    <cellStyle name="60% - akcent 4 33" xfId="686"/>
    <cellStyle name="60% - akcent 4 34" xfId="687"/>
    <cellStyle name="60% - akcent 4 35" xfId="688"/>
    <cellStyle name="60% - akcent 4 36" xfId="689"/>
    <cellStyle name="60% - akcent 4 37" xfId="690"/>
    <cellStyle name="60% - akcent 4 38" xfId="691"/>
    <cellStyle name="60% - akcent 4 39" xfId="692"/>
    <cellStyle name="60% - akcent 4 4" xfId="693"/>
    <cellStyle name="60% - akcent 4 40" xfId="694"/>
    <cellStyle name="60% - akcent 4 41" xfId="695"/>
    <cellStyle name="60% - akcent 4 42" xfId="696"/>
    <cellStyle name="60% - akcent 4 43" xfId="697"/>
    <cellStyle name="60% - akcent 4 5" xfId="698"/>
    <cellStyle name="60% - akcent 4 6" xfId="699"/>
    <cellStyle name="60% - akcent 4 7" xfId="700"/>
    <cellStyle name="60% - akcent 4 8" xfId="701"/>
    <cellStyle name="60% - akcent 4 9" xfId="702"/>
    <cellStyle name="60% - akcent 5" xfId="703"/>
    <cellStyle name="60% - akcent 5 10" xfId="704"/>
    <cellStyle name="60% - akcent 5 11" xfId="705"/>
    <cellStyle name="60% - akcent 5 12" xfId="706"/>
    <cellStyle name="60% - akcent 5 13" xfId="707"/>
    <cellStyle name="60% - akcent 5 14" xfId="708"/>
    <cellStyle name="60% - akcent 5 15" xfId="709"/>
    <cellStyle name="60% - akcent 5 16" xfId="710"/>
    <cellStyle name="60% - akcent 5 17" xfId="711"/>
    <cellStyle name="60% - akcent 5 18" xfId="712"/>
    <cellStyle name="60% - akcent 5 19" xfId="713"/>
    <cellStyle name="60% - akcent 5 2" xfId="714"/>
    <cellStyle name="60% - akcent 5 20" xfId="715"/>
    <cellStyle name="60% - akcent 5 21" xfId="716"/>
    <cellStyle name="60% - akcent 5 22" xfId="717"/>
    <cellStyle name="60% - akcent 5 23" xfId="718"/>
    <cellStyle name="60% - akcent 5 24" xfId="719"/>
    <cellStyle name="60% - akcent 5 25" xfId="720"/>
    <cellStyle name="60% - akcent 5 26" xfId="721"/>
    <cellStyle name="60% - akcent 5 27" xfId="722"/>
    <cellStyle name="60% - akcent 5 28" xfId="723"/>
    <cellStyle name="60% - akcent 5 29" xfId="724"/>
    <cellStyle name="60% - akcent 5 3" xfId="725"/>
    <cellStyle name="60% - akcent 5 30" xfId="726"/>
    <cellStyle name="60% - akcent 5 31" xfId="727"/>
    <cellStyle name="60% - akcent 5 32" xfId="728"/>
    <cellStyle name="60% - akcent 5 33" xfId="729"/>
    <cellStyle name="60% - akcent 5 34" xfId="730"/>
    <cellStyle name="60% - akcent 5 35" xfId="731"/>
    <cellStyle name="60% - akcent 5 36" xfId="732"/>
    <cellStyle name="60% - akcent 5 37" xfId="733"/>
    <cellStyle name="60% - akcent 5 38" xfId="734"/>
    <cellStyle name="60% - akcent 5 39" xfId="735"/>
    <cellStyle name="60% - akcent 5 4" xfId="736"/>
    <cellStyle name="60% - akcent 5 40" xfId="737"/>
    <cellStyle name="60% - akcent 5 41" xfId="738"/>
    <cellStyle name="60% - akcent 5 42" xfId="739"/>
    <cellStyle name="60% - akcent 5 43" xfId="740"/>
    <cellStyle name="60% - akcent 5 5" xfId="741"/>
    <cellStyle name="60% - akcent 5 6" xfId="742"/>
    <cellStyle name="60% - akcent 5 7" xfId="743"/>
    <cellStyle name="60% - akcent 5 8" xfId="744"/>
    <cellStyle name="60% - akcent 5 9" xfId="745"/>
    <cellStyle name="60% - akcent 6" xfId="746"/>
    <cellStyle name="60% - akcent 6 10" xfId="747"/>
    <cellStyle name="60% - akcent 6 11" xfId="748"/>
    <cellStyle name="60% - akcent 6 12" xfId="749"/>
    <cellStyle name="60% - akcent 6 13" xfId="750"/>
    <cellStyle name="60% - akcent 6 14" xfId="751"/>
    <cellStyle name="60% - akcent 6 15" xfId="752"/>
    <cellStyle name="60% - akcent 6 16" xfId="753"/>
    <cellStyle name="60% - akcent 6 17" xfId="754"/>
    <cellStyle name="60% - akcent 6 18" xfId="755"/>
    <cellStyle name="60% - akcent 6 19" xfId="756"/>
    <cellStyle name="60% - akcent 6 2" xfId="757"/>
    <cellStyle name="60% - akcent 6 20" xfId="758"/>
    <cellStyle name="60% - akcent 6 21" xfId="759"/>
    <cellStyle name="60% - akcent 6 22" xfId="760"/>
    <cellStyle name="60% - akcent 6 23" xfId="761"/>
    <cellStyle name="60% - akcent 6 24" xfId="762"/>
    <cellStyle name="60% - akcent 6 25" xfId="763"/>
    <cellStyle name="60% - akcent 6 26" xfId="764"/>
    <cellStyle name="60% - akcent 6 27" xfId="765"/>
    <cellStyle name="60% - akcent 6 28" xfId="766"/>
    <cellStyle name="60% - akcent 6 29" xfId="767"/>
    <cellStyle name="60% - akcent 6 3" xfId="768"/>
    <cellStyle name="60% - akcent 6 30" xfId="769"/>
    <cellStyle name="60% - akcent 6 31" xfId="770"/>
    <cellStyle name="60% - akcent 6 32" xfId="771"/>
    <cellStyle name="60% - akcent 6 33" xfId="772"/>
    <cellStyle name="60% - akcent 6 34" xfId="773"/>
    <cellStyle name="60% - akcent 6 35" xfId="774"/>
    <cellStyle name="60% - akcent 6 36" xfId="775"/>
    <cellStyle name="60% - akcent 6 37" xfId="776"/>
    <cellStyle name="60% - akcent 6 38" xfId="777"/>
    <cellStyle name="60% - akcent 6 39" xfId="778"/>
    <cellStyle name="60% - akcent 6 4" xfId="779"/>
    <cellStyle name="60% - akcent 6 40" xfId="780"/>
    <cellStyle name="60% - akcent 6 41" xfId="781"/>
    <cellStyle name="60% - akcent 6 42" xfId="782"/>
    <cellStyle name="60% - akcent 6 43" xfId="783"/>
    <cellStyle name="60% - akcent 6 5" xfId="784"/>
    <cellStyle name="60% - akcent 6 6" xfId="785"/>
    <cellStyle name="60% - akcent 6 7" xfId="786"/>
    <cellStyle name="60% - akcent 6 8" xfId="787"/>
    <cellStyle name="60% - akcent 6 9" xfId="788"/>
    <cellStyle name="Akcent 1" xfId="789"/>
    <cellStyle name="Akcent 1 10" xfId="790"/>
    <cellStyle name="Akcent 1 11" xfId="791"/>
    <cellStyle name="Akcent 1 12" xfId="792"/>
    <cellStyle name="Akcent 1 13" xfId="793"/>
    <cellStyle name="Akcent 1 14" xfId="794"/>
    <cellStyle name="Akcent 1 15" xfId="795"/>
    <cellStyle name="Akcent 1 16" xfId="796"/>
    <cellStyle name="Akcent 1 17" xfId="797"/>
    <cellStyle name="Akcent 1 18" xfId="798"/>
    <cellStyle name="Akcent 1 19" xfId="799"/>
    <cellStyle name="Akcent 1 2" xfId="800"/>
    <cellStyle name="Akcent 1 20" xfId="801"/>
    <cellStyle name="Akcent 1 21" xfId="802"/>
    <cellStyle name="Akcent 1 22" xfId="803"/>
    <cellStyle name="Akcent 1 23" xfId="804"/>
    <cellStyle name="Akcent 1 24" xfId="805"/>
    <cellStyle name="Akcent 1 25" xfId="806"/>
    <cellStyle name="Akcent 1 26" xfId="807"/>
    <cellStyle name="Akcent 1 27" xfId="808"/>
    <cellStyle name="Akcent 1 28" xfId="809"/>
    <cellStyle name="Akcent 1 29" xfId="810"/>
    <cellStyle name="Akcent 1 3" xfId="811"/>
    <cellStyle name="Akcent 1 30" xfId="812"/>
    <cellStyle name="Akcent 1 31" xfId="813"/>
    <cellStyle name="Akcent 1 32" xfId="814"/>
    <cellStyle name="Akcent 1 33" xfId="815"/>
    <cellStyle name="Akcent 1 34" xfId="816"/>
    <cellStyle name="Akcent 1 35" xfId="817"/>
    <cellStyle name="Akcent 1 36" xfId="818"/>
    <cellStyle name="Akcent 1 37" xfId="819"/>
    <cellStyle name="Akcent 1 38" xfId="820"/>
    <cellStyle name="Akcent 1 39" xfId="821"/>
    <cellStyle name="Akcent 1 4" xfId="822"/>
    <cellStyle name="Akcent 1 40" xfId="823"/>
    <cellStyle name="Akcent 1 41" xfId="824"/>
    <cellStyle name="Akcent 1 42" xfId="825"/>
    <cellStyle name="Akcent 1 43" xfId="826"/>
    <cellStyle name="Akcent 1 5" xfId="827"/>
    <cellStyle name="Akcent 1 6" xfId="828"/>
    <cellStyle name="Akcent 1 7" xfId="829"/>
    <cellStyle name="Akcent 1 8" xfId="830"/>
    <cellStyle name="Akcent 1 9" xfId="831"/>
    <cellStyle name="Akcent 2" xfId="832"/>
    <cellStyle name="Akcent 2 10" xfId="833"/>
    <cellStyle name="Akcent 2 11" xfId="834"/>
    <cellStyle name="Akcent 2 12" xfId="835"/>
    <cellStyle name="Akcent 2 13" xfId="836"/>
    <cellStyle name="Akcent 2 14" xfId="837"/>
    <cellStyle name="Akcent 2 15" xfId="838"/>
    <cellStyle name="Akcent 2 16" xfId="839"/>
    <cellStyle name="Akcent 2 17" xfId="840"/>
    <cellStyle name="Akcent 2 18" xfId="841"/>
    <cellStyle name="Akcent 2 19" xfId="842"/>
    <cellStyle name="Akcent 2 2" xfId="843"/>
    <cellStyle name="Akcent 2 20" xfId="844"/>
    <cellStyle name="Akcent 2 21" xfId="845"/>
    <cellStyle name="Akcent 2 22" xfId="846"/>
    <cellStyle name="Akcent 2 23" xfId="847"/>
    <cellStyle name="Akcent 2 24" xfId="848"/>
    <cellStyle name="Akcent 2 25" xfId="849"/>
    <cellStyle name="Akcent 2 26" xfId="850"/>
    <cellStyle name="Akcent 2 27" xfId="851"/>
    <cellStyle name="Akcent 2 28" xfId="852"/>
    <cellStyle name="Akcent 2 29" xfId="853"/>
    <cellStyle name="Akcent 2 3" xfId="854"/>
    <cellStyle name="Akcent 2 30" xfId="855"/>
    <cellStyle name="Akcent 2 31" xfId="856"/>
    <cellStyle name="Akcent 2 32" xfId="857"/>
    <cellStyle name="Akcent 2 33" xfId="858"/>
    <cellStyle name="Akcent 2 34" xfId="859"/>
    <cellStyle name="Akcent 2 35" xfId="860"/>
    <cellStyle name="Akcent 2 36" xfId="861"/>
    <cellStyle name="Akcent 2 37" xfId="862"/>
    <cellStyle name="Akcent 2 38" xfId="863"/>
    <cellStyle name="Akcent 2 39" xfId="864"/>
    <cellStyle name="Akcent 2 4" xfId="865"/>
    <cellStyle name="Akcent 2 40" xfId="866"/>
    <cellStyle name="Akcent 2 41" xfId="867"/>
    <cellStyle name="Akcent 2 42" xfId="868"/>
    <cellStyle name="Akcent 2 43" xfId="869"/>
    <cellStyle name="Akcent 2 5" xfId="870"/>
    <cellStyle name="Akcent 2 6" xfId="871"/>
    <cellStyle name="Akcent 2 7" xfId="872"/>
    <cellStyle name="Akcent 2 8" xfId="873"/>
    <cellStyle name="Akcent 2 9" xfId="874"/>
    <cellStyle name="Akcent 3" xfId="875"/>
    <cellStyle name="Akcent 3 10" xfId="876"/>
    <cellStyle name="Akcent 3 11" xfId="877"/>
    <cellStyle name="Akcent 3 12" xfId="878"/>
    <cellStyle name="Akcent 3 13" xfId="879"/>
    <cellStyle name="Akcent 3 14" xfId="880"/>
    <cellStyle name="Akcent 3 15" xfId="881"/>
    <cellStyle name="Akcent 3 16" xfId="882"/>
    <cellStyle name="Akcent 3 17" xfId="883"/>
    <cellStyle name="Akcent 3 18" xfId="884"/>
    <cellStyle name="Akcent 3 19" xfId="885"/>
    <cellStyle name="Akcent 3 2" xfId="886"/>
    <cellStyle name="Akcent 3 20" xfId="887"/>
    <cellStyle name="Akcent 3 21" xfId="888"/>
    <cellStyle name="Akcent 3 22" xfId="889"/>
    <cellStyle name="Akcent 3 23" xfId="890"/>
    <cellStyle name="Akcent 3 24" xfId="891"/>
    <cellStyle name="Akcent 3 25" xfId="892"/>
    <cellStyle name="Akcent 3 26" xfId="893"/>
    <cellStyle name="Akcent 3 27" xfId="894"/>
    <cellStyle name="Akcent 3 28" xfId="895"/>
    <cellStyle name="Akcent 3 29" xfId="896"/>
    <cellStyle name="Akcent 3 3" xfId="897"/>
    <cellStyle name="Akcent 3 30" xfId="898"/>
    <cellStyle name="Akcent 3 31" xfId="899"/>
    <cellStyle name="Akcent 3 32" xfId="900"/>
    <cellStyle name="Akcent 3 33" xfId="901"/>
    <cellStyle name="Akcent 3 34" xfId="902"/>
    <cellStyle name="Akcent 3 35" xfId="903"/>
    <cellStyle name="Akcent 3 36" xfId="904"/>
    <cellStyle name="Akcent 3 37" xfId="905"/>
    <cellStyle name="Akcent 3 38" xfId="906"/>
    <cellStyle name="Akcent 3 39" xfId="907"/>
    <cellStyle name="Akcent 3 4" xfId="908"/>
    <cellStyle name="Akcent 3 40" xfId="909"/>
    <cellStyle name="Akcent 3 41" xfId="910"/>
    <cellStyle name="Akcent 3 42" xfId="911"/>
    <cellStyle name="Akcent 3 43" xfId="912"/>
    <cellStyle name="Akcent 3 5" xfId="913"/>
    <cellStyle name="Akcent 3 6" xfId="914"/>
    <cellStyle name="Akcent 3 7" xfId="915"/>
    <cellStyle name="Akcent 3 8" xfId="916"/>
    <cellStyle name="Akcent 3 9" xfId="917"/>
    <cellStyle name="Akcent 4" xfId="918"/>
    <cellStyle name="Akcent 4 10" xfId="919"/>
    <cellStyle name="Akcent 4 11" xfId="920"/>
    <cellStyle name="Akcent 4 12" xfId="921"/>
    <cellStyle name="Akcent 4 13" xfId="922"/>
    <cellStyle name="Akcent 4 14" xfId="923"/>
    <cellStyle name="Akcent 4 15" xfId="924"/>
    <cellStyle name="Akcent 4 16" xfId="925"/>
    <cellStyle name="Akcent 4 17" xfId="926"/>
    <cellStyle name="Akcent 4 18" xfId="927"/>
    <cellStyle name="Akcent 4 19" xfId="928"/>
    <cellStyle name="Akcent 4 2" xfId="929"/>
    <cellStyle name="Akcent 4 20" xfId="930"/>
    <cellStyle name="Akcent 4 21" xfId="931"/>
    <cellStyle name="Akcent 4 22" xfId="932"/>
    <cellStyle name="Akcent 4 23" xfId="933"/>
    <cellStyle name="Akcent 4 24" xfId="934"/>
    <cellStyle name="Akcent 4 25" xfId="935"/>
    <cellStyle name="Akcent 4 26" xfId="936"/>
    <cellStyle name="Akcent 4 27" xfId="937"/>
    <cellStyle name="Akcent 4 28" xfId="938"/>
    <cellStyle name="Akcent 4 29" xfId="939"/>
    <cellStyle name="Akcent 4 3" xfId="940"/>
    <cellStyle name="Akcent 4 30" xfId="941"/>
    <cellStyle name="Akcent 4 31" xfId="942"/>
    <cellStyle name="Akcent 4 32" xfId="943"/>
    <cellStyle name="Akcent 4 33" xfId="944"/>
    <cellStyle name="Akcent 4 34" xfId="945"/>
    <cellStyle name="Akcent 4 35" xfId="946"/>
    <cellStyle name="Akcent 4 36" xfId="947"/>
    <cellStyle name="Akcent 4 37" xfId="948"/>
    <cellStyle name="Akcent 4 38" xfId="949"/>
    <cellStyle name="Akcent 4 39" xfId="950"/>
    <cellStyle name="Akcent 4 4" xfId="951"/>
    <cellStyle name="Akcent 4 40" xfId="952"/>
    <cellStyle name="Akcent 4 41" xfId="953"/>
    <cellStyle name="Akcent 4 42" xfId="954"/>
    <cellStyle name="Akcent 4 43" xfId="955"/>
    <cellStyle name="Akcent 4 5" xfId="956"/>
    <cellStyle name="Akcent 4 6" xfId="957"/>
    <cellStyle name="Akcent 4 7" xfId="958"/>
    <cellStyle name="Akcent 4 8" xfId="959"/>
    <cellStyle name="Akcent 4 9" xfId="960"/>
    <cellStyle name="Akcent 5" xfId="961"/>
    <cellStyle name="Akcent 5 10" xfId="962"/>
    <cellStyle name="Akcent 5 11" xfId="963"/>
    <cellStyle name="Akcent 5 12" xfId="964"/>
    <cellStyle name="Akcent 5 13" xfId="965"/>
    <cellStyle name="Akcent 5 14" xfId="966"/>
    <cellStyle name="Akcent 5 15" xfId="967"/>
    <cellStyle name="Akcent 5 16" xfId="968"/>
    <cellStyle name="Akcent 5 17" xfId="969"/>
    <cellStyle name="Akcent 5 18" xfId="970"/>
    <cellStyle name="Akcent 5 19" xfId="971"/>
    <cellStyle name="Akcent 5 2" xfId="972"/>
    <cellStyle name="Akcent 5 20" xfId="973"/>
    <cellStyle name="Akcent 5 21" xfId="974"/>
    <cellStyle name="Akcent 5 22" xfId="975"/>
    <cellStyle name="Akcent 5 23" xfId="976"/>
    <cellStyle name="Akcent 5 24" xfId="977"/>
    <cellStyle name="Akcent 5 25" xfId="978"/>
    <cellStyle name="Akcent 5 26" xfId="979"/>
    <cellStyle name="Akcent 5 27" xfId="980"/>
    <cellStyle name="Akcent 5 28" xfId="981"/>
    <cellStyle name="Akcent 5 29" xfId="982"/>
    <cellStyle name="Akcent 5 3" xfId="983"/>
    <cellStyle name="Akcent 5 30" xfId="984"/>
    <cellStyle name="Akcent 5 31" xfId="985"/>
    <cellStyle name="Akcent 5 32" xfId="986"/>
    <cellStyle name="Akcent 5 33" xfId="987"/>
    <cellStyle name="Akcent 5 34" xfId="988"/>
    <cellStyle name="Akcent 5 35" xfId="989"/>
    <cellStyle name="Akcent 5 36" xfId="990"/>
    <cellStyle name="Akcent 5 37" xfId="991"/>
    <cellStyle name="Akcent 5 38" xfId="992"/>
    <cellStyle name="Akcent 5 39" xfId="993"/>
    <cellStyle name="Akcent 5 4" xfId="994"/>
    <cellStyle name="Akcent 5 40" xfId="995"/>
    <cellStyle name="Akcent 5 41" xfId="996"/>
    <cellStyle name="Akcent 5 42" xfId="997"/>
    <cellStyle name="Akcent 5 43" xfId="998"/>
    <cellStyle name="Akcent 5 5" xfId="999"/>
    <cellStyle name="Akcent 5 6" xfId="1000"/>
    <cellStyle name="Akcent 5 7" xfId="1001"/>
    <cellStyle name="Akcent 5 8" xfId="1002"/>
    <cellStyle name="Akcent 5 9" xfId="1003"/>
    <cellStyle name="Akcent 6" xfId="1004"/>
    <cellStyle name="Akcent 6 10" xfId="1005"/>
    <cellStyle name="Akcent 6 11" xfId="1006"/>
    <cellStyle name="Akcent 6 12" xfId="1007"/>
    <cellStyle name="Akcent 6 13" xfId="1008"/>
    <cellStyle name="Akcent 6 14" xfId="1009"/>
    <cellStyle name="Akcent 6 15" xfId="1010"/>
    <cellStyle name="Akcent 6 16" xfId="1011"/>
    <cellStyle name="Akcent 6 17" xfId="1012"/>
    <cellStyle name="Akcent 6 18" xfId="1013"/>
    <cellStyle name="Akcent 6 19" xfId="1014"/>
    <cellStyle name="Akcent 6 2" xfId="1015"/>
    <cellStyle name="Akcent 6 20" xfId="1016"/>
    <cellStyle name="Akcent 6 21" xfId="1017"/>
    <cellStyle name="Akcent 6 22" xfId="1018"/>
    <cellStyle name="Akcent 6 23" xfId="1019"/>
    <cellStyle name="Akcent 6 24" xfId="1020"/>
    <cellStyle name="Akcent 6 25" xfId="1021"/>
    <cellStyle name="Akcent 6 26" xfId="1022"/>
    <cellStyle name="Akcent 6 27" xfId="1023"/>
    <cellStyle name="Akcent 6 28" xfId="1024"/>
    <cellStyle name="Akcent 6 29" xfId="1025"/>
    <cellStyle name="Akcent 6 3" xfId="1026"/>
    <cellStyle name="Akcent 6 30" xfId="1027"/>
    <cellStyle name="Akcent 6 31" xfId="1028"/>
    <cellStyle name="Akcent 6 32" xfId="1029"/>
    <cellStyle name="Akcent 6 33" xfId="1030"/>
    <cellStyle name="Akcent 6 34" xfId="1031"/>
    <cellStyle name="Akcent 6 35" xfId="1032"/>
    <cellStyle name="Akcent 6 36" xfId="1033"/>
    <cellStyle name="Akcent 6 37" xfId="1034"/>
    <cellStyle name="Akcent 6 38" xfId="1035"/>
    <cellStyle name="Akcent 6 39" xfId="1036"/>
    <cellStyle name="Akcent 6 4" xfId="1037"/>
    <cellStyle name="Akcent 6 40" xfId="1038"/>
    <cellStyle name="Akcent 6 41" xfId="1039"/>
    <cellStyle name="Akcent 6 42" xfId="1040"/>
    <cellStyle name="Akcent 6 43" xfId="1041"/>
    <cellStyle name="Akcent 6 5" xfId="1042"/>
    <cellStyle name="Akcent 6 6" xfId="1043"/>
    <cellStyle name="Akcent 6 7" xfId="1044"/>
    <cellStyle name="Akcent 6 8" xfId="1045"/>
    <cellStyle name="Akcent 6 9" xfId="1046"/>
    <cellStyle name="Dane wejściowe" xfId="1047"/>
    <cellStyle name="Dane wejściowe 10" xfId="1048"/>
    <cellStyle name="Dane wejściowe 11" xfId="1049"/>
    <cellStyle name="Dane wejściowe 12" xfId="1050"/>
    <cellStyle name="Dane wejściowe 13" xfId="1051"/>
    <cellStyle name="Dane wejściowe 14" xfId="1052"/>
    <cellStyle name="Dane wejściowe 15" xfId="1053"/>
    <cellStyle name="Dane wejściowe 16" xfId="1054"/>
    <cellStyle name="Dane wejściowe 17" xfId="1055"/>
    <cellStyle name="Dane wejściowe 18" xfId="1056"/>
    <cellStyle name="Dane wejściowe 19" xfId="1057"/>
    <cellStyle name="Dane wejściowe 2" xfId="1058"/>
    <cellStyle name="Dane wejściowe 20" xfId="1059"/>
    <cellStyle name="Dane wejściowe 21" xfId="1060"/>
    <cellStyle name="Dane wejściowe 22" xfId="1061"/>
    <cellStyle name="Dane wejściowe 23" xfId="1062"/>
    <cellStyle name="Dane wejściowe 24" xfId="1063"/>
    <cellStyle name="Dane wejściowe 25" xfId="1064"/>
    <cellStyle name="Dane wejściowe 26" xfId="1065"/>
    <cellStyle name="Dane wejściowe 27" xfId="1066"/>
    <cellStyle name="Dane wejściowe 28" xfId="1067"/>
    <cellStyle name="Dane wejściowe 29" xfId="1068"/>
    <cellStyle name="Dane wejściowe 3" xfId="1069"/>
    <cellStyle name="Dane wejściowe 30" xfId="1070"/>
    <cellStyle name="Dane wejściowe 31" xfId="1071"/>
    <cellStyle name="Dane wejściowe 32" xfId="1072"/>
    <cellStyle name="Dane wejściowe 33" xfId="1073"/>
    <cellStyle name="Dane wejściowe 34" xfId="1074"/>
    <cellStyle name="Dane wejściowe 35" xfId="1075"/>
    <cellStyle name="Dane wejściowe 36" xfId="1076"/>
    <cellStyle name="Dane wejściowe 37" xfId="1077"/>
    <cellStyle name="Dane wejściowe 38" xfId="1078"/>
    <cellStyle name="Dane wejściowe 39" xfId="1079"/>
    <cellStyle name="Dane wejściowe 4" xfId="1080"/>
    <cellStyle name="Dane wejściowe 40" xfId="1081"/>
    <cellStyle name="Dane wejściowe 41" xfId="1082"/>
    <cellStyle name="Dane wejściowe 42" xfId="1083"/>
    <cellStyle name="Dane wejściowe 43" xfId="1084"/>
    <cellStyle name="Dane wejściowe 5" xfId="1085"/>
    <cellStyle name="Dane wejściowe 6" xfId="1086"/>
    <cellStyle name="Dane wejściowe 7" xfId="1087"/>
    <cellStyle name="Dane wejściowe 8" xfId="1088"/>
    <cellStyle name="Dane wejściowe 9" xfId="1089"/>
    <cellStyle name="Dane wyjściowe" xfId="1090"/>
    <cellStyle name="Dane wyjściowe 10" xfId="1091"/>
    <cellStyle name="Dane wyjściowe 11" xfId="1092"/>
    <cellStyle name="Dane wyjściowe 12" xfId="1093"/>
    <cellStyle name="Dane wyjściowe 13" xfId="1094"/>
    <cellStyle name="Dane wyjściowe 14" xfId="1095"/>
    <cellStyle name="Dane wyjściowe 15" xfId="1096"/>
    <cellStyle name="Dane wyjściowe 16" xfId="1097"/>
    <cellStyle name="Dane wyjściowe 17" xfId="1098"/>
    <cellStyle name="Dane wyjściowe 18" xfId="1099"/>
    <cellStyle name="Dane wyjściowe 19" xfId="1100"/>
    <cellStyle name="Dane wyjściowe 2" xfId="1101"/>
    <cellStyle name="Dane wyjściowe 20" xfId="1102"/>
    <cellStyle name="Dane wyjściowe 21" xfId="1103"/>
    <cellStyle name="Dane wyjściowe 22" xfId="1104"/>
    <cellStyle name="Dane wyjściowe 23" xfId="1105"/>
    <cellStyle name="Dane wyjściowe 24" xfId="1106"/>
    <cellStyle name="Dane wyjściowe 25" xfId="1107"/>
    <cellStyle name="Dane wyjściowe 26" xfId="1108"/>
    <cellStyle name="Dane wyjściowe 27" xfId="1109"/>
    <cellStyle name="Dane wyjściowe 28" xfId="1110"/>
    <cellStyle name="Dane wyjściowe 29" xfId="1111"/>
    <cellStyle name="Dane wyjściowe 3" xfId="1112"/>
    <cellStyle name="Dane wyjściowe 30" xfId="1113"/>
    <cellStyle name="Dane wyjściowe 31" xfId="1114"/>
    <cellStyle name="Dane wyjściowe 32" xfId="1115"/>
    <cellStyle name="Dane wyjściowe 33" xfId="1116"/>
    <cellStyle name="Dane wyjściowe 34" xfId="1117"/>
    <cellStyle name="Dane wyjściowe 35" xfId="1118"/>
    <cellStyle name="Dane wyjściowe 36" xfId="1119"/>
    <cellStyle name="Dane wyjściowe 37" xfId="1120"/>
    <cellStyle name="Dane wyjściowe 38" xfId="1121"/>
    <cellStyle name="Dane wyjściowe 39" xfId="1122"/>
    <cellStyle name="Dane wyjściowe 4" xfId="1123"/>
    <cellStyle name="Dane wyjściowe 40" xfId="1124"/>
    <cellStyle name="Dane wyjściowe 41" xfId="1125"/>
    <cellStyle name="Dane wyjściowe 42" xfId="1126"/>
    <cellStyle name="Dane wyjściowe 43" xfId="1127"/>
    <cellStyle name="Dane wyjściowe 5" xfId="1128"/>
    <cellStyle name="Dane wyjściowe 6" xfId="1129"/>
    <cellStyle name="Dane wyjściowe 7" xfId="1130"/>
    <cellStyle name="Dane wyjściowe 8" xfId="1131"/>
    <cellStyle name="Dane wyjściowe 9" xfId="1132"/>
    <cellStyle name="Dobre" xfId="1133"/>
    <cellStyle name="Dobre 10" xfId="1134"/>
    <cellStyle name="Dobre 11" xfId="1135"/>
    <cellStyle name="Dobre 12" xfId="1136"/>
    <cellStyle name="Dobre 13" xfId="1137"/>
    <cellStyle name="Dobre 14" xfId="1138"/>
    <cellStyle name="Dobre 15" xfId="1139"/>
    <cellStyle name="Dobre 16" xfId="1140"/>
    <cellStyle name="Dobre 17" xfId="1141"/>
    <cellStyle name="Dobre 18" xfId="1142"/>
    <cellStyle name="Dobre 19" xfId="1143"/>
    <cellStyle name="Dobre 2" xfId="1144"/>
    <cellStyle name="Dobre 20" xfId="1145"/>
    <cellStyle name="Dobre 21" xfId="1146"/>
    <cellStyle name="Dobre 22" xfId="1147"/>
    <cellStyle name="Dobre 23" xfId="1148"/>
    <cellStyle name="Dobre 24" xfId="1149"/>
    <cellStyle name="Dobre 25" xfId="1150"/>
    <cellStyle name="Dobre 26" xfId="1151"/>
    <cellStyle name="Dobre 27" xfId="1152"/>
    <cellStyle name="Dobre 28" xfId="1153"/>
    <cellStyle name="Dobre 29" xfId="1154"/>
    <cellStyle name="Dobre 3" xfId="1155"/>
    <cellStyle name="Dobre 30" xfId="1156"/>
    <cellStyle name="Dobre 31" xfId="1157"/>
    <cellStyle name="Dobre 32" xfId="1158"/>
    <cellStyle name="Dobre 33" xfId="1159"/>
    <cellStyle name="Dobre 34" xfId="1160"/>
    <cellStyle name="Dobre 35" xfId="1161"/>
    <cellStyle name="Dobre 36" xfId="1162"/>
    <cellStyle name="Dobre 37" xfId="1163"/>
    <cellStyle name="Dobre 38" xfId="1164"/>
    <cellStyle name="Dobre 39" xfId="1165"/>
    <cellStyle name="Dobre 4" xfId="1166"/>
    <cellStyle name="Dobre 40" xfId="1167"/>
    <cellStyle name="Dobre 41" xfId="1168"/>
    <cellStyle name="Dobre 42" xfId="1169"/>
    <cellStyle name="Dobre 43" xfId="1170"/>
    <cellStyle name="Dobre 5" xfId="1171"/>
    <cellStyle name="Dobre 6" xfId="1172"/>
    <cellStyle name="Dobre 7" xfId="1173"/>
    <cellStyle name="Dobre 8" xfId="1174"/>
    <cellStyle name="Dobre 9" xfId="1175"/>
    <cellStyle name="Comma" xfId="1176"/>
    <cellStyle name="Comma [0]" xfId="1177"/>
    <cellStyle name="Komórka połączona" xfId="1178"/>
    <cellStyle name="Komórka połączona 10" xfId="1179"/>
    <cellStyle name="Komórka połączona 11" xfId="1180"/>
    <cellStyle name="Komórka połączona 12" xfId="1181"/>
    <cellStyle name="Komórka połączona 13" xfId="1182"/>
    <cellStyle name="Komórka połączona 14" xfId="1183"/>
    <cellStyle name="Komórka połączona 15" xfId="1184"/>
    <cellStyle name="Komórka połączona 16" xfId="1185"/>
    <cellStyle name="Komórka połączona 17" xfId="1186"/>
    <cellStyle name="Komórka połączona 18" xfId="1187"/>
    <cellStyle name="Komórka połączona 19" xfId="1188"/>
    <cellStyle name="Komórka połączona 2" xfId="1189"/>
    <cellStyle name="Komórka połączona 20" xfId="1190"/>
    <cellStyle name="Komórka połączona 21" xfId="1191"/>
    <cellStyle name="Komórka połączona 22" xfId="1192"/>
    <cellStyle name="Komórka połączona 23" xfId="1193"/>
    <cellStyle name="Komórka połączona 24" xfId="1194"/>
    <cellStyle name="Komórka połączona 25" xfId="1195"/>
    <cellStyle name="Komórka połączona 26" xfId="1196"/>
    <cellStyle name="Komórka połączona 27" xfId="1197"/>
    <cellStyle name="Komórka połączona 28" xfId="1198"/>
    <cellStyle name="Komórka połączona 29" xfId="1199"/>
    <cellStyle name="Komórka połączona 3" xfId="1200"/>
    <cellStyle name="Komórka połączona 30" xfId="1201"/>
    <cellStyle name="Komórka połączona 31" xfId="1202"/>
    <cellStyle name="Komórka połączona 32" xfId="1203"/>
    <cellStyle name="Komórka połączona 33" xfId="1204"/>
    <cellStyle name="Komórka połączona 34" xfId="1205"/>
    <cellStyle name="Komórka połączona 35" xfId="1206"/>
    <cellStyle name="Komórka połączona 36" xfId="1207"/>
    <cellStyle name="Komórka połączona 37" xfId="1208"/>
    <cellStyle name="Komórka połączona 38" xfId="1209"/>
    <cellStyle name="Komórka połączona 39" xfId="1210"/>
    <cellStyle name="Komórka połączona 4" xfId="1211"/>
    <cellStyle name="Komórka połączona 40" xfId="1212"/>
    <cellStyle name="Komórka połączona 41" xfId="1213"/>
    <cellStyle name="Komórka połączona 42" xfId="1214"/>
    <cellStyle name="Komórka połączona 43" xfId="1215"/>
    <cellStyle name="Komórka połączona 5" xfId="1216"/>
    <cellStyle name="Komórka połączona 6" xfId="1217"/>
    <cellStyle name="Komórka połączona 7" xfId="1218"/>
    <cellStyle name="Komórka połączona 8" xfId="1219"/>
    <cellStyle name="Komórka połączona 9" xfId="1220"/>
    <cellStyle name="Komórka zaznaczona" xfId="1221"/>
    <cellStyle name="Komórka zaznaczona 10" xfId="1222"/>
    <cellStyle name="Komórka zaznaczona 11" xfId="1223"/>
    <cellStyle name="Komórka zaznaczona 12" xfId="1224"/>
    <cellStyle name="Komórka zaznaczona 13" xfId="1225"/>
    <cellStyle name="Komórka zaznaczona 14" xfId="1226"/>
    <cellStyle name="Komórka zaznaczona 15" xfId="1227"/>
    <cellStyle name="Komórka zaznaczona 16" xfId="1228"/>
    <cellStyle name="Komórka zaznaczona 17" xfId="1229"/>
    <cellStyle name="Komórka zaznaczona 18" xfId="1230"/>
    <cellStyle name="Komórka zaznaczona 19" xfId="1231"/>
    <cellStyle name="Komórka zaznaczona 2" xfId="1232"/>
    <cellStyle name="Komórka zaznaczona 20" xfId="1233"/>
    <cellStyle name="Komórka zaznaczona 21" xfId="1234"/>
    <cellStyle name="Komórka zaznaczona 22" xfId="1235"/>
    <cellStyle name="Komórka zaznaczona 23" xfId="1236"/>
    <cellStyle name="Komórka zaznaczona 24" xfId="1237"/>
    <cellStyle name="Komórka zaznaczona 25" xfId="1238"/>
    <cellStyle name="Komórka zaznaczona 26" xfId="1239"/>
    <cellStyle name="Komórka zaznaczona 27" xfId="1240"/>
    <cellStyle name="Komórka zaznaczona 28" xfId="1241"/>
    <cellStyle name="Komórka zaznaczona 29" xfId="1242"/>
    <cellStyle name="Komórka zaznaczona 3" xfId="1243"/>
    <cellStyle name="Komórka zaznaczona 30" xfId="1244"/>
    <cellStyle name="Komórka zaznaczona 31" xfId="1245"/>
    <cellStyle name="Komórka zaznaczona 32" xfId="1246"/>
    <cellStyle name="Komórka zaznaczona 33" xfId="1247"/>
    <cellStyle name="Komórka zaznaczona 34" xfId="1248"/>
    <cellStyle name="Komórka zaznaczona 35" xfId="1249"/>
    <cellStyle name="Komórka zaznaczona 36" xfId="1250"/>
    <cellStyle name="Komórka zaznaczona 37" xfId="1251"/>
    <cellStyle name="Komórka zaznaczona 38" xfId="1252"/>
    <cellStyle name="Komórka zaznaczona 39" xfId="1253"/>
    <cellStyle name="Komórka zaznaczona 4" xfId="1254"/>
    <cellStyle name="Komórka zaznaczona 40" xfId="1255"/>
    <cellStyle name="Komórka zaznaczona 41" xfId="1256"/>
    <cellStyle name="Komórka zaznaczona 42" xfId="1257"/>
    <cellStyle name="Komórka zaznaczona 43" xfId="1258"/>
    <cellStyle name="Komórka zaznaczona 5" xfId="1259"/>
    <cellStyle name="Komórka zaznaczona 6" xfId="1260"/>
    <cellStyle name="Komórka zaznaczona 7" xfId="1261"/>
    <cellStyle name="Komórka zaznaczona 8" xfId="1262"/>
    <cellStyle name="Komórka zaznaczona 9" xfId="1263"/>
    <cellStyle name="Nagłówek 1" xfId="1264"/>
    <cellStyle name="Nagłówek 1 10" xfId="1265"/>
    <cellStyle name="Nagłówek 1 11" xfId="1266"/>
    <cellStyle name="Nagłówek 1 12" xfId="1267"/>
    <cellStyle name="Nagłówek 1 13" xfId="1268"/>
    <cellStyle name="Nagłówek 1 14" xfId="1269"/>
    <cellStyle name="Nagłówek 1 15" xfId="1270"/>
    <cellStyle name="Nagłówek 1 16" xfId="1271"/>
    <cellStyle name="Nagłówek 1 17" xfId="1272"/>
    <cellStyle name="Nagłówek 1 18" xfId="1273"/>
    <cellStyle name="Nagłówek 1 19" xfId="1274"/>
    <cellStyle name="Nagłówek 1 2" xfId="1275"/>
    <cellStyle name="Nagłówek 1 20" xfId="1276"/>
    <cellStyle name="Nagłówek 1 21" xfId="1277"/>
    <cellStyle name="Nagłówek 1 22" xfId="1278"/>
    <cellStyle name="Nagłówek 1 23" xfId="1279"/>
    <cellStyle name="Nagłówek 1 24" xfId="1280"/>
    <cellStyle name="Nagłówek 1 25" xfId="1281"/>
    <cellStyle name="Nagłówek 1 26" xfId="1282"/>
    <cellStyle name="Nagłówek 1 27" xfId="1283"/>
    <cellStyle name="Nagłówek 1 28" xfId="1284"/>
    <cellStyle name="Nagłówek 1 29" xfId="1285"/>
    <cellStyle name="Nagłówek 1 3" xfId="1286"/>
    <cellStyle name="Nagłówek 1 30" xfId="1287"/>
    <cellStyle name="Nagłówek 1 31" xfId="1288"/>
    <cellStyle name="Nagłówek 1 32" xfId="1289"/>
    <cellStyle name="Nagłówek 1 33" xfId="1290"/>
    <cellStyle name="Nagłówek 1 34" xfId="1291"/>
    <cellStyle name="Nagłówek 1 35" xfId="1292"/>
    <cellStyle name="Nagłówek 1 36" xfId="1293"/>
    <cellStyle name="Nagłówek 1 37" xfId="1294"/>
    <cellStyle name="Nagłówek 1 38" xfId="1295"/>
    <cellStyle name="Nagłówek 1 39" xfId="1296"/>
    <cellStyle name="Nagłówek 1 4" xfId="1297"/>
    <cellStyle name="Nagłówek 1 40" xfId="1298"/>
    <cellStyle name="Nagłówek 1 41" xfId="1299"/>
    <cellStyle name="Nagłówek 1 42" xfId="1300"/>
    <cellStyle name="Nagłówek 1 43" xfId="1301"/>
    <cellStyle name="Nagłówek 1 5" xfId="1302"/>
    <cellStyle name="Nagłówek 1 6" xfId="1303"/>
    <cellStyle name="Nagłówek 1 7" xfId="1304"/>
    <cellStyle name="Nagłówek 1 8" xfId="1305"/>
    <cellStyle name="Nagłówek 1 9" xfId="1306"/>
    <cellStyle name="Nagłówek 2" xfId="1307"/>
    <cellStyle name="Nagłówek 2 10" xfId="1308"/>
    <cellStyle name="Nagłówek 2 11" xfId="1309"/>
    <cellStyle name="Nagłówek 2 12" xfId="1310"/>
    <cellStyle name="Nagłówek 2 13" xfId="1311"/>
    <cellStyle name="Nagłówek 2 14" xfId="1312"/>
    <cellStyle name="Nagłówek 2 15" xfId="1313"/>
    <cellStyle name="Nagłówek 2 16" xfId="1314"/>
    <cellStyle name="Nagłówek 2 17" xfId="1315"/>
    <cellStyle name="Nagłówek 2 18" xfId="1316"/>
    <cellStyle name="Nagłówek 2 19" xfId="1317"/>
    <cellStyle name="Nagłówek 2 2" xfId="1318"/>
    <cellStyle name="Nagłówek 2 20" xfId="1319"/>
    <cellStyle name="Nagłówek 2 21" xfId="1320"/>
    <cellStyle name="Nagłówek 2 22" xfId="1321"/>
    <cellStyle name="Nagłówek 2 23" xfId="1322"/>
    <cellStyle name="Nagłówek 2 24" xfId="1323"/>
    <cellStyle name="Nagłówek 2 25" xfId="1324"/>
    <cellStyle name="Nagłówek 2 26" xfId="1325"/>
    <cellStyle name="Nagłówek 2 27" xfId="1326"/>
    <cellStyle name="Nagłówek 2 28" xfId="1327"/>
    <cellStyle name="Nagłówek 2 29" xfId="1328"/>
    <cellStyle name="Nagłówek 2 3" xfId="1329"/>
    <cellStyle name="Nagłówek 2 30" xfId="1330"/>
    <cellStyle name="Nagłówek 2 31" xfId="1331"/>
    <cellStyle name="Nagłówek 2 32" xfId="1332"/>
    <cellStyle name="Nagłówek 2 33" xfId="1333"/>
    <cellStyle name="Nagłówek 2 34" xfId="1334"/>
    <cellStyle name="Nagłówek 2 35" xfId="1335"/>
    <cellStyle name="Nagłówek 2 36" xfId="1336"/>
    <cellStyle name="Nagłówek 2 37" xfId="1337"/>
    <cellStyle name="Nagłówek 2 38" xfId="1338"/>
    <cellStyle name="Nagłówek 2 39" xfId="1339"/>
    <cellStyle name="Nagłówek 2 4" xfId="1340"/>
    <cellStyle name="Nagłówek 2 40" xfId="1341"/>
    <cellStyle name="Nagłówek 2 41" xfId="1342"/>
    <cellStyle name="Nagłówek 2 42" xfId="1343"/>
    <cellStyle name="Nagłówek 2 43" xfId="1344"/>
    <cellStyle name="Nagłówek 2 5" xfId="1345"/>
    <cellStyle name="Nagłówek 2 6" xfId="1346"/>
    <cellStyle name="Nagłówek 2 7" xfId="1347"/>
    <cellStyle name="Nagłówek 2 8" xfId="1348"/>
    <cellStyle name="Nagłówek 2 9" xfId="1349"/>
    <cellStyle name="Nagłówek 3" xfId="1350"/>
    <cellStyle name="Nagłówek 3 10" xfId="1351"/>
    <cellStyle name="Nagłówek 3 11" xfId="1352"/>
    <cellStyle name="Nagłówek 3 12" xfId="1353"/>
    <cellStyle name="Nagłówek 3 13" xfId="1354"/>
    <cellStyle name="Nagłówek 3 14" xfId="1355"/>
    <cellStyle name="Nagłówek 3 15" xfId="1356"/>
    <cellStyle name="Nagłówek 3 16" xfId="1357"/>
    <cellStyle name="Nagłówek 3 17" xfId="1358"/>
    <cellStyle name="Nagłówek 3 18" xfId="1359"/>
    <cellStyle name="Nagłówek 3 19" xfId="1360"/>
    <cellStyle name="Nagłówek 3 2" xfId="1361"/>
    <cellStyle name="Nagłówek 3 20" xfId="1362"/>
    <cellStyle name="Nagłówek 3 21" xfId="1363"/>
    <cellStyle name="Nagłówek 3 22" xfId="1364"/>
    <cellStyle name="Nagłówek 3 23" xfId="1365"/>
    <cellStyle name="Nagłówek 3 24" xfId="1366"/>
    <cellStyle name="Nagłówek 3 25" xfId="1367"/>
    <cellStyle name="Nagłówek 3 26" xfId="1368"/>
    <cellStyle name="Nagłówek 3 27" xfId="1369"/>
    <cellStyle name="Nagłówek 3 28" xfId="1370"/>
    <cellStyle name="Nagłówek 3 29" xfId="1371"/>
    <cellStyle name="Nagłówek 3 3" xfId="1372"/>
    <cellStyle name="Nagłówek 3 30" xfId="1373"/>
    <cellStyle name="Nagłówek 3 31" xfId="1374"/>
    <cellStyle name="Nagłówek 3 32" xfId="1375"/>
    <cellStyle name="Nagłówek 3 33" xfId="1376"/>
    <cellStyle name="Nagłówek 3 34" xfId="1377"/>
    <cellStyle name="Nagłówek 3 35" xfId="1378"/>
    <cellStyle name="Nagłówek 3 36" xfId="1379"/>
    <cellStyle name="Nagłówek 3 37" xfId="1380"/>
    <cellStyle name="Nagłówek 3 38" xfId="1381"/>
    <cellStyle name="Nagłówek 3 39" xfId="1382"/>
    <cellStyle name="Nagłówek 3 4" xfId="1383"/>
    <cellStyle name="Nagłówek 3 40" xfId="1384"/>
    <cellStyle name="Nagłówek 3 41" xfId="1385"/>
    <cellStyle name="Nagłówek 3 42" xfId="1386"/>
    <cellStyle name="Nagłówek 3 43" xfId="1387"/>
    <cellStyle name="Nagłówek 3 5" xfId="1388"/>
    <cellStyle name="Nagłówek 3 6" xfId="1389"/>
    <cellStyle name="Nagłówek 3 7" xfId="1390"/>
    <cellStyle name="Nagłówek 3 8" xfId="1391"/>
    <cellStyle name="Nagłówek 3 9" xfId="1392"/>
    <cellStyle name="Nagłówek 4" xfId="1393"/>
    <cellStyle name="Nagłówek 4 10" xfId="1394"/>
    <cellStyle name="Nagłówek 4 11" xfId="1395"/>
    <cellStyle name="Nagłówek 4 12" xfId="1396"/>
    <cellStyle name="Nagłówek 4 13" xfId="1397"/>
    <cellStyle name="Nagłówek 4 14" xfId="1398"/>
    <cellStyle name="Nagłówek 4 15" xfId="1399"/>
    <cellStyle name="Nagłówek 4 16" xfId="1400"/>
    <cellStyle name="Nagłówek 4 17" xfId="1401"/>
    <cellStyle name="Nagłówek 4 18" xfId="1402"/>
    <cellStyle name="Nagłówek 4 19" xfId="1403"/>
    <cellStyle name="Nagłówek 4 2" xfId="1404"/>
    <cellStyle name="Nagłówek 4 20" xfId="1405"/>
    <cellStyle name="Nagłówek 4 21" xfId="1406"/>
    <cellStyle name="Nagłówek 4 22" xfId="1407"/>
    <cellStyle name="Nagłówek 4 23" xfId="1408"/>
    <cellStyle name="Nagłówek 4 24" xfId="1409"/>
    <cellStyle name="Nagłówek 4 25" xfId="1410"/>
    <cellStyle name="Nagłówek 4 26" xfId="1411"/>
    <cellStyle name="Nagłówek 4 27" xfId="1412"/>
    <cellStyle name="Nagłówek 4 28" xfId="1413"/>
    <cellStyle name="Nagłówek 4 29" xfId="1414"/>
    <cellStyle name="Nagłówek 4 3" xfId="1415"/>
    <cellStyle name="Nagłówek 4 30" xfId="1416"/>
    <cellStyle name="Nagłówek 4 31" xfId="1417"/>
    <cellStyle name="Nagłówek 4 32" xfId="1418"/>
    <cellStyle name="Nagłówek 4 33" xfId="1419"/>
    <cellStyle name="Nagłówek 4 34" xfId="1420"/>
    <cellStyle name="Nagłówek 4 35" xfId="1421"/>
    <cellStyle name="Nagłówek 4 36" xfId="1422"/>
    <cellStyle name="Nagłówek 4 37" xfId="1423"/>
    <cellStyle name="Nagłówek 4 38" xfId="1424"/>
    <cellStyle name="Nagłówek 4 39" xfId="1425"/>
    <cellStyle name="Nagłówek 4 4" xfId="1426"/>
    <cellStyle name="Nagłówek 4 40" xfId="1427"/>
    <cellStyle name="Nagłówek 4 41" xfId="1428"/>
    <cellStyle name="Nagłówek 4 42" xfId="1429"/>
    <cellStyle name="Nagłówek 4 43" xfId="1430"/>
    <cellStyle name="Nagłówek 4 5" xfId="1431"/>
    <cellStyle name="Nagłówek 4 6" xfId="1432"/>
    <cellStyle name="Nagłówek 4 7" xfId="1433"/>
    <cellStyle name="Nagłówek 4 8" xfId="1434"/>
    <cellStyle name="Nagłówek 4 9" xfId="1435"/>
    <cellStyle name="Neutralne" xfId="1436"/>
    <cellStyle name="Neutralne 10" xfId="1437"/>
    <cellStyle name="Neutralne 11" xfId="1438"/>
    <cellStyle name="Neutralne 12" xfId="1439"/>
    <cellStyle name="Neutralne 13" xfId="1440"/>
    <cellStyle name="Neutralne 14" xfId="1441"/>
    <cellStyle name="Neutralne 15" xfId="1442"/>
    <cellStyle name="Neutralne 16" xfId="1443"/>
    <cellStyle name="Neutralne 17" xfId="1444"/>
    <cellStyle name="Neutralne 18" xfId="1445"/>
    <cellStyle name="Neutralne 19" xfId="1446"/>
    <cellStyle name="Neutralne 2" xfId="1447"/>
    <cellStyle name="Neutralne 20" xfId="1448"/>
    <cellStyle name="Neutralne 21" xfId="1449"/>
    <cellStyle name="Neutralne 22" xfId="1450"/>
    <cellStyle name="Neutralne 23" xfId="1451"/>
    <cellStyle name="Neutralne 24" xfId="1452"/>
    <cellStyle name="Neutralne 25" xfId="1453"/>
    <cellStyle name="Neutralne 26" xfId="1454"/>
    <cellStyle name="Neutralne 27" xfId="1455"/>
    <cellStyle name="Neutralne 28" xfId="1456"/>
    <cellStyle name="Neutralne 29" xfId="1457"/>
    <cellStyle name="Neutralne 3" xfId="1458"/>
    <cellStyle name="Neutralne 30" xfId="1459"/>
    <cellStyle name="Neutralne 31" xfId="1460"/>
    <cellStyle name="Neutralne 32" xfId="1461"/>
    <cellStyle name="Neutralne 33" xfId="1462"/>
    <cellStyle name="Neutralne 34" xfId="1463"/>
    <cellStyle name="Neutralne 35" xfId="1464"/>
    <cellStyle name="Neutralne 36" xfId="1465"/>
    <cellStyle name="Neutralne 37" xfId="1466"/>
    <cellStyle name="Neutralne 38" xfId="1467"/>
    <cellStyle name="Neutralne 39" xfId="1468"/>
    <cellStyle name="Neutralne 4" xfId="1469"/>
    <cellStyle name="Neutralne 40" xfId="1470"/>
    <cellStyle name="Neutralne 41" xfId="1471"/>
    <cellStyle name="Neutralne 42" xfId="1472"/>
    <cellStyle name="Neutralne 43" xfId="1473"/>
    <cellStyle name="Neutralne 5" xfId="1474"/>
    <cellStyle name="Neutralne 6" xfId="1475"/>
    <cellStyle name="Neutralne 7" xfId="1476"/>
    <cellStyle name="Neutralne 8" xfId="1477"/>
    <cellStyle name="Neutralne 9" xfId="1478"/>
    <cellStyle name="None" xfId="1479"/>
    <cellStyle name="Normalny 10" xfId="1480"/>
    <cellStyle name="Normalny 11" xfId="1481"/>
    <cellStyle name="Normalny 12" xfId="1482"/>
    <cellStyle name="Normalny 13" xfId="1483"/>
    <cellStyle name="Normalny 14" xfId="1484"/>
    <cellStyle name="Normalny 15" xfId="1485"/>
    <cellStyle name="Normalny 16" xfId="1486"/>
    <cellStyle name="Normalny 17" xfId="1487"/>
    <cellStyle name="Normalny 18" xfId="1488"/>
    <cellStyle name="Normalny 19" xfId="1489"/>
    <cellStyle name="Normalny 2" xfId="1490"/>
    <cellStyle name="Normalny 20" xfId="1491"/>
    <cellStyle name="Normalny 21" xfId="1492"/>
    <cellStyle name="Normalny 22" xfId="1493"/>
    <cellStyle name="Normalny 23" xfId="1494"/>
    <cellStyle name="Normalny 24" xfId="1495"/>
    <cellStyle name="Normalny 25" xfId="1496"/>
    <cellStyle name="Normalny 26" xfId="1497"/>
    <cellStyle name="Normalny 27" xfId="1498"/>
    <cellStyle name="Normalny 28" xfId="1499"/>
    <cellStyle name="Normalny 29" xfId="1500"/>
    <cellStyle name="Normalny 3" xfId="1501"/>
    <cellStyle name="Normalny 30" xfId="1502"/>
    <cellStyle name="Normalny 31" xfId="1503"/>
    <cellStyle name="Normalny 32" xfId="1504"/>
    <cellStyle name="Normalny 33" xfId="1505"/>
    <cellStyle name="Normalny 34" xfId="1506"/>
    <cellStyle name="Normalny 35" xfId="1507"/>
    <cellStyle name="Normalny 36" xfId="1508"/>
    <cellStyle name="Normalny 37" xfId="1509"/>
    <cellStyle name="Normalny 38" xfId="1510"/>
    <cellStyle name="Normalny 39" xfId="1511"/>
    <cellStyle name="Normalny 4" xfId="1512"/>
    <cellStyle name="Normalny 40" xfId="1513"/>
    <cellStyle name="Normalny 41" xfId="1514"/>
    <cellStyle name="Normalny 42" xfId="1515"/>
    <cellStyle name="Normalny 43" xfId="1516"/>
    <cellStyle name="Normalny 5" xfId="1517"/>
    <cellStyle name="Normalny 6" xfId="1518"/>
    <cellStyle name="Normalny 7" xfId="1519"/>
    <cellStyle name="Normalny 8" xfId="1520"/>
    <cellStyle name="Normalny 9" xfId="1521"/>
    <cellStyle name="Normalny_roboty ziemne" xfId="1522"/>
    <cellStyle name="Obliczenia" xfId="1523"/>
    <cellStyle name="Obliczenia 10" xfId="1524"/>
    <cellStyle name="Obliczenia 11" xfId="1525"/>
    <cellStyle name="Obliczenia 12" xfId="1526"/>
    <cellStyle name="Obliczenia 13" xfId="1527"/>
    <cellStyle name="Obliczenia 14" xfId="1528"/>
    <cellStyle name="Obliczenia 15" xfId="1529"/>
    <cellStyle name="Obliczenia 16" xfId="1530"/>
    <cellStyle name="Obliczenia 17" xfId="1531"/>
    <cellStyle name="Obliczenia 18" xfId="1532"/>
    <cellStyle name="Obliczenia 19" xfId="1533"/>
    <cellStyle name="Obliczenia 2" xfId="1534"/>
    <cellStyle name="Obliczenia 20" xfId="1535"/>
    <cellStyle name="Obliczenia 21" xfId="1536"/>
    <cellStyle name="Obliczenia 22" xfId="1537"/>
    <cellStyle name="Obliczenia 23" xfId="1538"/>
    <cellStyle name="Obliczenia 24" xfId="1539"/>
    <cellStyle name="Obliczenia 25" xfId="1540"/>
    <cellStyle name="Obliczenia 26" xfId="1541"/>
    <cellStyle name="Obliczenia 27" xfId="1542"/>
    <cellStyle name="Obliczenia 28" xfId="1543"/>
    <cellStyle name="Obliczenia 29" xfId="1544"/>
    <cellStyle name="Obliczenia 3" xfId="1545"/>
    <cellStyle name="Obliczenia 30" xfId="1546"/>
    <cellStyle name="Obliczenia 31" xfId="1547"/>
    <cellStyle name="Obliczenia 32" xfId="1548"/>
    <cellStyle name="Obliczenia 33" xfId="1549"/>
    <cellStyle name="Obliczenia 34" xfId="1550"/>
    <cellStyle name="Obliczenia 35" xfId="1551"/>
    <cellStyle name="Obliczenia 36" xfId="1552"/>
    <cellStyle name="Obliczenia 37" xfId="1553"/>
    <cellStyle name="Obliczenia 38" xfId="1554"/>
    <cellStyle name="Obliczenia 39" xfId="1555"/>
    <cellStyle name="Obliczenia 4" xfId="1556"/>
    <cellStyle name="Obliczenia 40" xfId="1557"/>
    <cellStyle name="Obliczenia 41" xfId="1558"/>
    <cellStyle name="Obliczenia 42" xfId="1559"/>
    <cellStyle name="Obliczenia 43" xfId="1560"/>
    <cellStyle name="Obliczenia 5" xfId="1561"/>
    <cellStyle name="Obliczenia 6" xfId="1562"/>
    <cellStyle name="Obliczenia 7" xfId="1563"/>
    <cellStyle name="Obliczenia 8" xfId="1564"/>
    <cellStyle name="Obliczenia 9" xfId="1565"/>
    <cellStyle name="Opis" xfId="1566"/>
    <cellStyle name="Percent" xfId="1567"/>
    <cellStyle name="Suma" xfId="1568"/>
    <cellStyle name="Suma 10" xfId="1569"/>
    <cellStyle name="Suma 11" xfId="1570"/>
    <cellStyle name="Suma 12" xfId="1571"/>
    <cellStyle name="Suma 13" xfId="1572"/>
    <cellStyle name="Suma 14" xfId="1573"/>
    <cellStyle name="Suma 15" xfId="1574"/>
    <cellStyle name="Suma 16" xfId="1575"/>
    <cellStyle name="Suma 17" xfId="1576"/>
    <cellStyle name="Suma 18" xfId="1577"/>
    <cellStyle name="Suma 19" xfId="1578"/>
    <cellStyle name="Suma 2" xfId="1579"/>
    <cellStyle name="Suma 20" xfId="1580"/>
    <cellStyle name="Suma 21" xfId="1581"/>
    <cellStyle name="Suma 22" xfId="1582"/>
    <cellStyle name="Suma 23" xfId="1583"/>
    <cellStyle name="Suma 24" xfId="1584"/>
    <cellStyle name="Suma 25" xfId="1585"/>
    <cellStyle name="Suma 26" xfId="1586"/>
    <cellStyle name="Suma 27" xfId="1587"/>
    <cellStyle name="Suma 28" xfId="1588"/>
    <cellStyle name="Suma 29" xfId="1589"/>
    <cellStyle name="Suma 3" xfId="1590"/>
    <cellStyle name="Suma 30" xfId="1591"/>
    <cellStyle name="Suma 31" xfId="1592"/>
    <cellStyle name="Suma 32" xfId="1593"/>
    <cellStyle name="Suma 33" xfId="1594"/>
    <cellStyle name="Suma 34" xfId="1595"/>
    <cellStyle name="Suma 35" xfId="1596"/>
    <cellStyle name="Suma 36" xfId="1597"/>
    <cellStyle name="Suma 37" xfId="1598"/>
    <cellStyle name="Suma 38" xfId="1599"/>
    <cellStyle name="Suma 39" xfId="1600"/>
    <cellStyle name="Suma 4" xfId="1601"/>
    <cellStyle name="Suma 40" xfId="1602"/>
    <cellStyle name="Suma 41" xfId="1603"/>
    <cellStyle name="Suma 42" xfId="1604"/>
    <cellStyle name="Suma 43" xfId="1605"/>
    <cellStyle name="Suma 5" xfId="1606"/>
    <cellStyle name="Suma 6" xfId="1607"/>
    <cellStyle name="Suma 7" xfId="1608"/>
    <cellStyle name="Suma 8" xfId="1609"/>
    <cellStyle name="Suma 9" xfId="1610"/>
    <cellStyle name="Tekst objaśnienia" xfId="1611"/>
    <cellStyle name="Tekst objaśnienia 10" xfId="1612"/>
    <cellStyle name="Tekst objaśnienia 11" xfId="1613"/>
    <cellStyle name="Tekst objaśnienia 12" xfId="1614"/>
    <cellStyle name="Tekst objaśnienia 13" xfId="1615"/>
    <cellStyle name="Tekst objaśnienia 14" xfId="1616"/>
    <cellStyle name="Tekst objaśnienia 15" xfId="1617"/>
    <cellStyle name="Tekst objaśnienia 16" xfId="1618"/>
    <cellStyle name="Tekst objaśnienia 17" xfId="1619"/>
    <cellStyle name="Tekst objaśnienia 18" xfId="1620"/>
    <cellStyle name="Tekst objaśnienia 19" xfId="1621"/>
    <cellStyle name="Tekst objaśnienia 2" xfId="1622"/>
    <cellStyle name="Tekst objaśnienia 20" xfId="1623"/>
    <cellStyle name="Tekst objaśnienia 21" xfId="1624"/>
    <cellStyle name="Tekst objaśnienia 22" xfId="1625"/>
    <cellStyle name="Tekst objaśnienia 23" xfId="1626"/>
    <cellStyle name="Tekst objaśnienia 24" xfId="1627"/>
    <cellStyle name="Tekst objaśnienia 25" xfId="1628"/>
    <cellStyle name="Tekst objaśnienia 26" xfId="1629"/>
    <cellStyle name="Tekst objaśnienia 27" xfId="1630"/>
    <cellStyle name="Tekst objaśnienia 28" xfId="1631"/>
    <cellStyle name="Tekst objaśnienia 29" xfId="1632"/>
    <cellStyle name="Tekst objaśnienia 3" xfId="1633"/>
    <cellStyle name="Tekst objaśnienia 30" xfId="1634"/>
    <cellStyle name="Tekst objaśnienia 31" xfId="1635"/>
    <cellStyle name="Tekst objaśnienia 32" xfId="1636"/>
    <cellStyle name="Tekst objaśnienia 33" xfId="1637"/>
    <cellStyle name="Tekst objaśnienia 34" xfId="1638"/>
    <cellStyle name="Tekst objaśnienia 35" xfId="1639"/>
    <cellStyle name="Tekst objaśnienia 36" xfId="1640"/>
    <cellStyle name="Tekst objaśnienia 37" xfId="1641"/>
    <cellStyle name="Tekst objaśnienia 38" xfId="1642"/>
    <cellStyle name="Tekst objaśnienia 39" xfId="1643"/>
    <cellStyle name="Tekst objaśnienia 4" xfId="1644"/>
    <cellStyle name="Tekst objaśnienia 40" xfId="1645"/>
    <cellStyle name="Tekst objaśnienia 41" xfId="1646"/>
    <cellStyle name="Tekst objaśnienia 42" xfId="1647"/>
    <cellStyle name="Tekst objaśnienia 43" xfId="1648"/>
    <cellStyle name="Tekst objaśnienia 5" xfId="1649"/>
    <cellStyle name="Tekst objaśnienia 6" xfId="1650"/>
    <cellStyle name="Tekst objaśnienia 7" xfId="1651"/>
    <cellStyle name="Tekst objaśnienia 8" xfId="1652"/>
    <cellStyle name="Tekst objaśnienia 9" xfId="1653"/>
    <cellStyle name="Tekst ostrzeżenia" xfId="1654"/>
    <cellStyle name="Tekst ostrzeżenia 10" xfId="1655"/>
    <cellStyle name="Tekst ostrzeżenia 11" xfId="1656"/>
    <cellStyle name="Tekst ostrzeżenia 12" xfId="1657"/>
    <cellStyle name="Tekst ostrzeżenia 13" xfId="1658"/>
    <cellStyle name="Tekst ostrzeżenia 14" xfId="1659"/>
    <cellStyle name="Tekst ostrzeżenia 15" xfId="1660"/>
    <cellStyle name="Tekst ostrzeżenia 16" xfId="1661"/>
    <cellStyle name="Tekst ostrzeżenia 17" xfId="1662"/>
    <cellStyle name="Tekst ostrzeżenia 18" xfId="1663"/>
    <cellStyle name="Tekst ostrzeżenia 19" xfId="1664"/>
    <cellStyle name="Tekst ostrzeżenia 2" xfId="1665"/>
    <cellStyle name="Tekst ostrzeżenia 20" xfId="1666"/>
    <cellStyle name="Tekst ostrzeżenia 21" xfId="1667"/>
    <cellStyle name="Tekst ostrzeżenia 22" xfId="1668"/>
    <cellStyle name="Tekst ostrzeżenia 23" xfId="1669"/>
    <cellStyle name="Tekst ostrzeżenia 24" xfId="1670"/>
    <cellStyle name="Tekst ostrzeżenia 25" xfId="1671"/>
    <cellStyle name="Tekst ostrzeżenia 26" xfId="1672"/>
    <cellStyle name="Tekst ostrzeżenia 27" xfId="1673"/>
    <cellStyle name="Tekst ostrzeżenia 28" xfId="1674"/>
    <cellStyle name="Tekst ostrzeżenia 29" xfId="1675"/>
    <cellStyle name="Tekst ostrzeżenia 3" xfId="1676"/>
    <cellStyle name="Tekst ostrzeżenia 30" xfId="1677"/>
    <cellStyle name="Tekst ostrzeżenia 31" xfId="1678"/>
    <cellStyle name="Tekst ostrzeżenia 32" xfId="1679"/>
    <cellStyle name="Tekst ostrzeżenia 33" xfId="1680"/>
    <cellStyle name="Tekst ostrzeżenia 34" xfId="1681"/>
    <cellStyle name="Tekst ostrzeżenia 35" xfId="1682"/>
    <cellStyle name="Tekst ostrzeżenia 36" xfId="1683"/>
    <cellStyle name="Tekst ostrzeżenia 37" xfId="1684"/>
    <cellStyle name="Tekst ostrzeżenia 38" xfId="1685"/>
    <cellStyle name="Tekst ostrzeżenia 39" xfId="1686"/>
    <cellStyle name="Tekst ostrzeżenia 4" xfId="1687"/>
    <cellStyle name="Tekst ostrzeżenia 40" xfId="1688"/>
    <cellStyle name="Tekst ostrzeżenia 41" xfId="1689"/>
    <cellStyle name="Tekst ostrzeżenia 42" xfId="1690"/>
    <cellStyle name="Tekst ostrzeżenia 43" xfId="1691"/>
    <cellStyle name="Tekst ostrzeżenia 5" xfId="1692"/>
    <cellStyle name="Tekst ostrzeżenia 6" xfId="1693"/>
    <cellStyle name="Tekst ostrzeżenia 7" xfId="1694"/>
    <cellStyle name="Tekst ostrzeżenia 8" xfId="1695"/>
    <cellStyle name="Tekst ostrzeżenia 9" xfId="1696"/>
    <cellStyle name="Tytuł" xfId="1697"/>
    <cellStyle name="Tytuł 10" xfId="1698"/>
    <cellStyle name="Tytuł 11" xfId="1699"/>
    <cellStyle name="Tytuł 12" xfId="1700"/>
    <cellStyle name="Tytuł 13" xfId="1701"/>
    <cellStyle name="Tytuł 14" xfId="1702"/>
    <cellStyle name="Tytuł 15" xfId="1703"/>
    <cellStyle name="Tytuł 16" xfId="1704"/>
    <cellStyle name="Tytuł 17" xfId="1705"/>
    <cellStyle name="Tytuł 18" xfId="1706"/>
    <cellStyle name="Tytuł 19" xfId="1707"/>
    <cellStyle name="Tytuł 2" xfId="1708"/>
    <cellStyle name="Tytuł 20" xfId="1709"/>
    <cellStyle name="Tytuł 21" xfId="1710"/>
    <cellStyle name="Tytuł 22" xfId="1711"/>
    <cellStyle name="Tytuł 23" xfId="1712"/>
    <cellStyle name="Tytuł 24" xfId="1713"/>
    <cellStyle name="Tytuł 25" xfId="1714"/>
    <cellStyle name="Tytuł 26" xfId="1715"/>
    <cellStyle name="Tytuł 27" xfId="1716"/>
    <cellStyle name="Tytuł 28" xfId="1717"/>
    <cellStyle name="Tytuł 29" xfId="1718"/>
    <cellStyle name="Tytuł 3" xfId="1719"/>
    <cellStyle name="Tytuł 30" xfId="1720"/>
    <cellStyle name="Tytuł 31" xfId="1721"/>
    <cellStyle name="Tytuł 32" xfId="1722"/>
    <cellStyle name="Tytuł 33" xfId="1723"/>
    <cellStyle name="Tytuł 34" xfId="1724"/>
    <cellStyle name="Tytuł 35" xfId="1725"/>
    <cellStyle name="Tytuł 36" xfId="1726"/>
    <cellStyle name="Tytuł 37" xfId="1727"/>
    <cellStyle name="Tytuł 38" xfId="1728"/>
    <cellStyle name="Tytuł 39" xfId="1729"/>
    <cellStyle name="Tytuł 4" xfId="1730"/>
    <cellStyle name="Tytuł 40" xfId="1731"/>
    <cellStyle name="Tytuł 41" xfId="1732"/>
    <cellStyle name="Tytuł 42" xfId="1733"/>
    <cellStyle name="Tytuł 43" xfId="1734"/>
    <cellStyle name="Tytuł 5" xfId="1735"/>
    <cellStyle name="Tytuł 6" xfId="1736"/>
    <cellStyle name="Tytuł 7" xfId="1737"/>
    <cellStyle name="Tytuł 8" xfId="1738"/>
    <cellStyle name="Tytuł 9" xfId="1739"/>
    <cellStyle name="Uwaga" xfId="1740"/>
    <cellStyle name="Uwaga 10" xfId="1741"/>
    <cellStyle name="Uwaga 11" xfId="1742"/>
    <cellStyle name="Uwaga 12" xfId="1743"/>
    <cellStyle name="Uwaga 13" xfId="1744"/>
    <cellStyle name="Uwaga 14" xfId="1745"/>
    <cellStyle name="Uwaga 15" xfId="1746"/>
    <cellStyle name="Uwaga 16" xfId="1747"/>
    <cellStyle name="Uwaga 17" xfId="1748"/>
    <cellStyle name="Uwaga 18" xfId="1749"/>
    <cellStyle name="Uwaga 19" xfId="1750"/>
    <cellStyle name="Uwaga 2" xfId="1751"/>
    <cellStyle name="Uwaga 20" xfId="1752"/>
    <cellStyle name="Uwaga 21" xfId="1753"/>
    <cellStyle name="Uwaga 22" xfId="1754"/>
    <cellStyle name="Uwaga 23" xfId="1755"/>
    <cellStyle name="Uwaga 24" xfId="1756"/>
    <cellStyle name="Uwaga 25" xfId="1757"/>
    <cellStyle name="Uwaga 26" xfId="1758"/>
    <cellStyle name="Uwaga 27" xfId="1759"/>
    <cellStyle name="Uwaga 28" xfId="1760"/>
    <cellStyle name="Uwaga 29" xfId="1761"/>
    <cellStyle name="Uwaga 3" xfId="1762"/>
    <cellStyle name="Uwaga 30" xfId="1763"/>
    <cellStyle name="Uwaga 31" xfId="1764"/>
    <cellStyle name="Uwaga 32" xfId="1765"/>
    <cellStyle name="Uwaga 33" xfId="1766"/>
    <cellStyle name="Uwaga 34" xfId="1767"/>
    <cellStyle name="Uwaga 35" xfId="1768"/>
    <cellStyle name="Uwaga 36" xfId="1769"/>
    <cellStyle name="Uwaga 37" xfId="1770"/>
    <cellStyle name="Uwaga 38" xfId="1771"/>
    <cellStyle name="Uwaga 39" xfId="1772"/>
    <cellStyle name="Uwaga 4" xfId="1773"/>
    <cellStyle name="Uwaga 40" xfId="1774"/>
    <cellStyle name="Uwaga 41" xfId="1775"/>
    <cellStyle name="Uwaga 42" xfId="1776"/>
    <cellStyle name="Uwaga 43" xfId="1777"/>
    <cellStyle name="Uwaga 5" xfId="1778"/>
    <cellStyle name="Uwaga 6" xfId="1779"/>
    <cellStyle name="Uwaga 7" xfId="1780"/>
    <cellStyle name="Uwaga 8" xfId="1781"/>
    <cellStyle name="Uwaga 9" xfId="1782"/>
    <cellStyle name="Currency" xfId="1783"/>
    <cellStyle name="Currency [0]" xfId="1784"/>
    <cellStyle name="Złe" xfId="1785"/>
    <cellStyle name="Złe 10" xfId="1786"/>
    <cellStyle name="Złe 11" xfId="1787"/>
    <cellStyle name="Złe 12" xfId="1788"/>
    <cellStyle name="Złe 13" xfId="1789"/>
    <cellStyle name="Złe 14" xfId="1790"/>
    <cellStyle name="Złe 15" xfId="1791"/>
    <cellStyle name="Złe 16" xfId="1792"/>
    <cellStyle name="Złe 17" xfId="1793"/>
    <cellStyle name="Złe 18" xfId="1794"/>
    <cellStyle name="Złe 19" xfId="1795"/>
    <cellStyle name="Złe 2" xfId="1796"/>
    <cellStyle name="Złe 20" xfId="1797"/>
    <cellStyle name="Złe 21" xfId="1798"/>
    <cellStyle name="Złe 22" xfId="1799"/>
    <cellStyle name="Złe 23" xfId="1800"/>
    <cellStyle name="Złe 24" xfId="1801"/>
    <cellStyle name="Złe 25" xfId="1802"/>
    <cellStyle name="Złe 26" xfId="1803"/>
    <cellStyle name="Złe 27" xfId="1804"/>
    <cellStyle name="Złe 28" xfId="1805"/>
    <cellStyle name="Złe 29" xfId="1806"/>
    <cellStyle name="Złe 3" xfId="1807"/>
    <cellStyle name="Złe 30" xfId="1808"/>
    <cellStyle name="Złe 31" xfId="1809"/>
    <cellStyle name="Złe 32" xfId="1810"/>
    <cellStyle name="Złe 33" xfId="1811"/>
    <cellStyle name="Złe 34" xfId="1812"/>
    <cellStyle name="Złe 35" xfId="1813"/>
    <cellStyle name="Złe 36" xfId="1814"/>
    <cellStyle name="Złe 37" xfId="1815"/>
    <cellStyle name="Złe 38" xfId="1816"/>
    <cellStyle name="Złe 39" xfId="1817"/>
    <cellStyle name="Złe 4" xfId="1818"/>
    <cellStyle name="Złe 40" xfId="1819"/>
    <cellStyle name="Złe 41" xfId="1820"/>
    <cellStyle name="Złe 42" xfId="1821"/>
    <cellStyle name="Złe 43" xfId="1822"/>
    <cellStyle name="Złe 5" xfId="1823"/>
    <cellStyle name="Złe 6" xfId="1824"/>
    <cellStyle name="Złe 7" xfId="1825"/>
    <cellStyle name="Złe 8" xfId="1826"/>
    <cellStyle name="Złe 9" xfId="18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view="pageLayout" zoomScaleSheetLayoutView="70" workbookViewId="0" topLeftCell="A87">
      <selection activeCell="A1" sqref="A1:K100"/>
    </sheetView>
  </sheetViews>
  <sheetFormatPr defaultColWidth="8.796875" defaultRowHeight="14.25"/>
  <cols>
    <col min="1" max="1" width="8" style="0" customWidth="1"/>
    <col min="2" max="2" width="7.19921875" style="0" customWidth="1"/>
    <col min="3" max="3" width="7.69921875" style="0" customWidth="1"/>
    <col min="4" max="5" width="7" style="0" customWidth="1"/>
    <col min="6" max="6" width="6.19921875" style="0" customWidth="1"/>
    <col min="7" max="8" width="7.5" style="0" customWidth="1"/>
    <col min="9" max="9" width="8.59765625" style="0" customWidth="1"/>
    <col min="10" max="10" width="9" style="0" customWidth="1"/>
    <col min="11" max="11" width="8.09765625" style="0" customWidth="1"/>
    <col min="17" max="17" width="6.09765625" style="0" customWidth="1"/>
    <col min="18" max="18" width="8.19921875" style="0" customWidth="1"/>
  </cols>
  <sheetData>
    <row r="1" ht="14.25">
      <c r="A1" t="s">
        <v>25</v>
      </c>
    </row>
    <row r="2" spans="1:11" ht="13.5" customHeight="1" thickBo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6.5" thickBot="1">
      <c r="A3" s="105" t="s">
        <v>24</v>
      </c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14.25">
      <c r="A4" s="54" t="s">
        <v>1</v>
      </c>
      <c r="B4" s="55"/>
      <c r="C4" s="56" t="s">
        <v>2</v>
      </c>
      <c r="D4" s="56" t="s">
        <v>3</v>
      </c>
      <c r="E4" s="56" t="s">
        <v>2</v>
      </c>
      <c r="F4" s="57" t="s">
        <v>3</v>
      </c>
      <c r="G4" s="58" t="s">
        <v>2</v>
      </c>
      <c r="H4" s="58" t="s">
        <v>3</v>
      </c>
      <c r="I4" s="58" t="s">
        <v>4</v>
      </c>
      <c r="J4" s="58" t="s">
        <v>5</v>
      </c>
      <c r="K4" s="59" t="s">
        <v>6</v>
      </c>
    </row>
    <row r="5" spans="1:11" ht="14.25">
      <c r="A5" s="60"/>
      <c r="B5" s="1"/>
      <c r="C5" s="1"/>
      <c r="D5" s="1"/>
      <c r="E5" s="1"/>
      <c r="F5" s="2"/>
      <c r="G5" s="3"/>
      <c r="H5" s="3"/>
      <c r="I5" s="4" t="s">
        <v>7</v>
      </c>
      <c r="J5" s="4" t="s">
        <v>8</v>
      </c>
      <c r="K5" s="61" t="s">
        <v>9</v>
      </c>
    </row>
    <row r="6" spans="1:11" ht="15" thickBot="1">
      <c r="A6" s="62"/>
      <c r="B6" s="63" t="s">
        <v>10</v>
      </c>
      <c r="C6" s="63" t="s">
        <v>11</v>
      </c>
      <c r="D6" s="63" t="s">
        <v>12</v>
      </c>
      <c r="E6" s="63" t="s">
        <v>13</v>
      </c>
      <c r="F6" s="64" t="s">
        <v>14</v>
      </c>
      <c r="G6" s="65" t="s">
        <v>15</v>
      </c>
      <c r="H6" s="65" t="s">
        <v>16</v>
      </c>
      <c r="I6" s="65" t="s">
        <v>17</v>
      </c>
      <c r="J6" s="66"/>
      <c r="K6" s="67" t="s">
        <v>18</v>
      </c>
    </row>
    <row r="7" spans="1:11" ht="15" thickBot="1">
      <c r="A7" s="68"/>
      <c r="B7" s="69" t="s">
        <v>19</v>
      </c>
      <c r="C7" s="69" t="s">
        <v>20</v>
      </c>
      <c r="D7" s="69" t="s">
        <v>20</v>
      </c>
      <c r="E7" s="69" t="s">
        <v>20</v>
      </c>
      <c r="F7" s="69" t="s">
        <v>20</v>
      </c>
      <c r="G7" s="70" t="s">
        <v>21</v>
      </c>
      <c r="H7" s="70" t="s">
        <v>21</v>
      </c>
      <c r="I7" s="70" t="s">
        <v>21</v>
      </c>
      <c r="J7" s="70" t="s">
        <v>21</v>
      </c>
      <c r="K7" s="71" t="s">
        <v>21</v>
      </c>
    </row>
    <row r="8" spans="1:11" ht="15" thickBot="1">
      <c r="A8" s="100">
        <v>1</v>
      </c>
      <c r="B8" s="98">
        <v>2</v>
      </c>
      <c r="C8" s="73">
        <v>3</v>
      </c>
      <c r="D8" s="73">
        <v>4</v>
      </c>
      <c r="E8" s="73">
        <v>5</v>
      </c>
      <c r="F8" s="74">
        <v>6</v>
      </c>
      <c r="G8" s="75">
        <v>7</v>
      </c>
      <c r="H8" s="75">
        <v>8</v>
      </c>
      <c r="I8" s="75">
        <v>9</v>
      </c>
      <c r="J8" s="75">
        <v>10</v>
      </c>
      <c r="K8" s="76">
        <v>11</v>
      </c>
    </row>
    <row r="9" spans="1:19" ht="14.25">
      <c r="A9" s="99">
        <v>0</v>
      </c>
      <c r="B9" s="95">
        <v>0</v>
      </c>
      <c r="C9" s="30">
        <v>4.6709</v>
      </c>
      <c r="D9" s="30">
        <f>0.0907+0.07</f>
        <v>0.1607</v>
      </c>
      <c r="E9" s="72">
        <f>C9/2</f>
        <v>2.33545</v>
      </c>
      <c r="F9" s="72">
        <f>D9/2</f>
        <v>0.08035</v>
      </c>
      <c r="G9" s="72">
        <f aca="true" t="shared" si="0" ref="G9:G21">SUM(E9*B9)</f>
        <v>0</v>
      </c>
      <c r="H9" s="72">
        <f aca="true" t="shared" si="1" ref="H9:H21">SUM(F9*B9)</f>
        <v>0</v>
      </c>
      <c r="I9" s="72">
        <f aca="true" t="shared" si="2" ref="I9:I21">IF(P9=1,H9,G9)</f>
        <v>0</v>
      </c>
      <c r="J9" s="77">
        <f aca="true" t="shared" si="3" ref="J9:J21">G9-H9</f>
        <v>0</v>
      </c>
      <c r="K9" s="80">
        <f>SUM(J9)</f>
        <v>0</v>
      </c>
      <c r="P9">
        <v>1</v>
      </c>
      <c r="R9" t="s">
        <v>26</v>
      </c>
      <c r="S9" t="s">
        <v>27</v>
      </c>
    </row>
    <row r="10" spans="1:16" ht="14.25">
      <c r="A10" s="32">
        <v>20</v>
      </c>
      <c r="B10" s="96">
        <f>SUM(A10-A9)</f>
        <v>20</v>
      </c>
      <c r="C10" s="30">
        <v>3.7479</v>
      </c>
      <c r="D10" s="30">
        <f>0.0431+0.027+0.0663+0.0268</f>
        <v>0.16319999999999998</v>
      </c>
      <c r="E10" s="21">
        <f>(SUM(C9:C10))/2</f>
        <v>4.2094</v>
      </c>
      <c r="F10" s="22">
        <f>(SUM(D9:D10))/2</f>
        <v>0.16194999999999998</v>
      </c>
      <c r="G10" s="21">
        <f>SUM(E10*B10)</f>
        <v>84.18799999999999</v>
      </c>
      <c r="H10" s="5">
        <f>SUM(F10*B10)</f>
        <v>3.239</v>
      </c>
      <c r="I10" s="5">
        <f>IF(P10=1,H10,G10)</f>
        <v>3.239</v>
      </c>
      <c r="J10" s="78">
        <f>G10-H10</f>
        <v>80.94899999999998</v>
      </c>
      <c r="K10" s="81">
        <f>SUM(J10+K9)</f>
        <v>80.94899999999998</v>
      </c>
      <c r="P10">
        <v>1</v>
      </c>
    </row>
    <row r="11" spans="1:16" ht="14.25">
      <c r="A11" s="32">
        <v>40</v>
      </c>
      <c r="B11" s="96">
        <f>SUM(A11-A10)</f>
        <v>20</v>
      </c>
      <c r="C11" s="30">
        <f>1.1715+0.4269+0.0944</f>
        <v>1.6928</v>
      </c>
      <c r="D11" s="30">
        <f>0.2323+0.2735</f>
        <v>0.5058</v>
      </c>
      <c r="E11" s="21">
        <f>SUM(C10:C11)/2</f>
        <v>2.72035</v>
      </c>
      <c r="F11" s="22">
        <f>(SUM(D10:D11))/2</f>
        <v>0.3345</v>
      </c>
      <c r="G11" s="21">
        <f t="shared" si="0"/>
        <v>54.407</v>
      </c>
      <c r="H11" s="5">
        <f t="shared" si="1"/>
        <v>6.69</v>
      </c>
      <c r="I11" s="5">
        <f t="shared" si="2"/>
        <v>6.69</v>
      </c>
      <c r="J11" s="78">
        <f t="shared" si="3"/>
        <v>47.717</v>
      </c>
      <c r="K11" s="81">
        <f>SUM(J11+K10)</f>
        <v>128.666</v>
      </c>
      <c r="P11">
        <v>1</v>
      </c>
    </row>
    <row r="12" spans="1:16" ht="14.25">
      <c r="A12" s="32">
        <v>60</v>
      </c>
      <c r="B12" s="96">
        <f aca="true" t="shared" si="4" ref="B12:B21">SUM(A12-A11)</f>
        <v>20</v>
      </c>
      <c r="C12" s="30">
        <f>1.3612+0.402+0.1336</f>
        <v>1.8967999999999998</v>
      </c>
      <c r="D12" s="30">
        <f>0.0238+0.0625+0.4779</f>
        <v>0.5642</v>
      </c>
      <c r="E12" s="21">
        <f aca="true" t="shared" si="5" ref="E12:E21">SUM(C11:C12)/2</f>
        <v>1.7948</v>
      </c>
      <c r="F12" s="22">
        <f aca="true" t="shared" si="6" ref="F12:F21">(SUM(D11:D12))/2</f>
        <v>0.535</v>
      </c>
      <c r="G12" s="21">
        <f t="shared" si="0"/>
        <v>35.896</v>
      </c>
      <c r="H12" s="5">
        <f t="shared" si="1"/>
        <v>10.700000000000001</v>
      </c>
      <c r="I12" s="5">
        <f t="shared" si="2"/>
        <v>10.700000000000001</v>
      </c>
      <c r="J12" s="78">
        <f t="shared" si="3"/>
        <v>25.195999999999998</v>
      </c>
      <c r="K12" s="81">
        <f aca="true" t="shared" si="7" ref="K12:K21">SUM(J12+K11)</f>
        <v>153.862</v>
      </c>
      <c r="P12">
        <v>1</v>
      </c>
    </row>
    <row r="13" spans="1:16" ht="14.25">
      <c r="A13" s="32">
        <v>80</v>
      </c>
      <c r="B13" s="96">
        <f t="shared" si="4"/>
        <v>20</v>
      </c>
      <c r="C13" s="30">
        <f>2.3553+0.3603+0.244</f>
        <v>2.9596</v>
      </c>
      <c r="D13" s="30">
        <f>0.0578+0.7736+0.0097</f>
        <v>0.8411</v>
      </c>
      <c r="E13" s="21">
        <f t="shared" si="5"/>
        <v>2.4282</v>
      </c>
      <c r="F13" s="22">
        <f t="shared" si="6"/>
        <v>0.70265</v>
      </c>
      <c r="G13" s="21">
        <f t="shared" si="0"/>
        <v>48.564</v>
      </c>
      <c r="H13" s="5">
        <f t="shared" si="1"/>
        <v>14.053</v>
      </c>
      <c r="I13" s="5">
        <f t="shared" si="2"/>
        <v>14.053</v>
      </c>
      <c r="J13" s="78">
        <f t="shared" si="3"/>
        <v>34.510999999999996</v>
      </c>
      <c r="K13" s="81">
        <f t="shared" si="7"/>
        <v>188.373</v>
      </c>
      <c r="P13">
        <v>1</v>
      </c>
    </row>
    <row r="14" spans="1:16" ht="14.25">
      <c r="A14" s="32">
        <v>100</v>
      </c>
      <c r="B14" s="96">
        <f t="shared" si="4"/>
        <v>20</v>
      </c>
      <c r="C14" s="30">
        <f>0.7629+0.3523+0.1955</f>
        <v>1.3107</v>
      </c>
      <c r="D14" s="30">
        <f>0.0903+1.6957</f>
        <v>1.786</v>
      </c>
      <c r="E14" s="21">
        <f t="shared" si="5"/>
        <v>2.13515</v>
      </c>
      <c r="F14" s="22">
        <f t="shared" si="6"/>
        <v>1.31355</v>
      </c>
      <c r="G14" s="21">
        <f t="shared" si="0"/>
        <v>42.702999999999996</v>
      </c>
      <c r="H14" s="5">
        <f t="shared" si="1"/>
        <v>26.271</v>
      </c>
      <c r="I14" s="5">
        <f t="shared" si="2"/>
        <v>26.271</v>
      </c>
      <c r="J14" s="78">
        <f t="shared" si="3"/>
        <v>16.431999999999995</v>
      </c>
      <c r="K14" s="83">
        <f t="shared" si="7"/>
        <v>204.80499999999998</v>
      </c>
      <c r="P14">
        <v>1</v>
      </c>
    </row>
    <row r="15" spans="1:11" ht="14.25">
      <c r="A15" s="32">
        <v>120</v>
      </c>
      <c r="B15" s="96">
        <f t="shared" si="4"/>
        <v>20</v>
      </c>
      <c r="C15" s="30">
        <f>0.6974+0.1427+0.363</f>
        <v>1.2031</v>
      </c>
      <c r="D15" s="30">
        <f>0.0294+0.0492+2.5789</f>
        <v>2.6574999999999998</v>
      </c>
      <c r="E15" s="21">
        <f t="shared" si="5"/>
        <v>1.2569</v>
      </c>
      <c r="F15" s="22">
        <f t="shared" si="6"/>
        <v>2.22175</v>
      </c>
      <c r="G15" s="21">
        <f t="shared" si="0"/>
        <v>25.137999999999998</v>
      </c>
      <c r="H15" s="5">
        <f t="shared" si="1"/>
        <v>44.435</v>
      </c>
      <c r="I15" s="5">
        <f t="shared" si="2"/>
        <v>25.137999999999998</v>
      </c>
      <c r="J15" s="78">
        <f t="shared" si="3"/>
        <v>-19.297000000000004</v>
      </c>
      <c r="K15" s="79">
        <f t="shared" si="7"/>
        <v>185.50799999999998</v>
      </c>
    </row>
    <row r="16" spans="1:11" ht="14.25">
      <c r="A16" s="32">
        <v>140</v>
      </c>
      <c r="B16" s="96">
        <f t="shared" si="4"/>
        <v>20</v>
      </c>
      <c r="C16" s="30">
        <f>0.0512+0.3549+0.0877</f>
        <v>0.4938</v>
      </c>
      <c r="D16" s="30">
        <f>1.7489+0.2424</f>
        <v>1.9912999999999998</v>
      </c>
      <c r="E16" s="21">
        <f t="shared" si="5"/>
        <v>0.84845</v>
      </c>
      <c r="F16" s="22">
        <f t="shared" si="6"/>
        <v>2.3244</v>
      </c>
      <c r="G16" s="21">
        <f t="shared" si="0"/>
        <v>16.969</v>
      </c>
      <c r="H16" s="5">
        <f t="shared" si="1"/>
        <v>46.488</v>
      </c>
      <c r="I16" s="5">
        <f t="shared" si="2"/>
        <v>16.969</v>
      </c>
      <c r="J16" s="78">
        <f t="shared" si="3"/>
        <v>-29.519</v>
      </c>
      <c r="K16" s="82">
        <f t="shared" si="7"/>
        <v>155.98899999999998</v>
      </c>
    </row>
    <row r="17" spans="1:16" ht="14.25">
      <c r="A17" s="32">
        <v>160</v>
      </c>
      <c r="B17" s="96">
        <f t="shared" si="4"/>
        <v>20</v>
      </c>
      <c r="C17" s="30">
        <f>1.3493+0.712+0.0698</f>
        <v>2.1311</v>
      </c>
      <c r="D17" s="30">
        <f>0.0498+0.0169+0.4077</f>
        <v>0.4744</v>
      </c>
      <c r="E17" s="21">
        <f t="shared" si="5"/>
        <v>1.3124500000000001</v>
      </c>
      <c r="F17" s="22">
        <f t="shared" si="6"/>
        <v>1.23285</v>
      </c>
      <c r="G17" s="21">
        <f t="shared" si="0"/>
        <v>26.249000000000002</v>
      </c>
      <c r="H17" s="5">
        <f t="shared" si="1"/>
        <v>24.657</v>
      </c>
      <c r="I17" s="5">
        <f t="shared" si="2"/>
        <v>24.657</v>
      </c>
      <c r="J17" s="78">
        <f t="shared" si="3"/>
        <v>1.5920000000000023</v>
      </c>
      <c r="K17" s="81">
        <f t="shared" si="7"/>
        <v>157.581</v>
      </c>
      <c r="P17">
        <v>1</v>
      </c>
    </row>
    <row r="18" spans="1:16" ht="14.25">
      <c r="A18" s="32">
        <v>180</v>
      </c>
      <c r="B18" s="96">
        <f t="shared" si="4"/>
        <v>20</v>
      </c>
      <c r="C18" s="30">
        <f>3.2895+0.0593</f>
        <v>3.3487999999999998</v>
      </c>
      <c r="D18" s="30">
        <f>0.0546+0.0109+0.1761</f>
        <v>0.2416</v>
      </c>
      <c r="E18" s="21">
        <f t="shared" si="5"/>
        <v>2.73995</v>
      </c>
      <c r="F18" s="22">
        <f t="shared" si="6"/>
        <v>0.358</v>
      </c>
      <c r="G18" s="21">
        <f t="shared" si="0"/>
        <v>54.799</v>
      </c>
      <c r="H18" s="5">
        <f t="shared" si="1"/>
        <v>7.16</v>
      </c>
      <c r="I18" s="5">
        <f t="shared" si="2"/>
        <v>7.16</v>
      </c>
      <c r="J18" s="78">
        <f t="shared" si="3"/>
        <v>47.638999999999996</v>
      </c>
      <c r="K18" s="81">
        <f t="shared" si="7"/>
        <v>205.21999999999997</v>
      </c>
      <c r="P18">
        <v>1</v>
      </c>
    </row>
    <row r="19" spans="1:16" ht="14.25">
      <c r="A19" s="32">
        <v>200</v>
      </c>
      <c r="B19" s="96">
        <f t="shared" si="4"/>
        <v>20</v>
      </c>
      <c r="C19" s="30">
        <f>2.8075+0.7132+0.3002</f>
        <v>3.8209</v>
      </c>
      <c r="D19" s="30">
        <f>0.1429+0.0645</f>
        <v>0.2074</v>
      </c>
      <c r="E19" s="21">
        <f t="shared" si="5"/>
        <v>3.58485</v>
      </c>
      <c r="F19" s="22">
        <f t="shared" si="6"/>
        <v>0.2245</v>
      </c>
      <c r="G19" s="21">
        <f t="shared" si="0"/>
        <v>71.697</v>
      </c>
      <c r="H19" s="5">
        <f t="shared" si="1"/>
        <v>4.49</v>
      </c>
      <c r="I19" s="5">
        <f t="shared" si="2"/>
        <v>4.49</v>
      </c>
      <c r="J19" s="78">
        <f t="shared" si="3"/>
        <v>67.20700000000001</v>
      </c>
      <c r="K19" s="81">
        <f t="shared" si="7"/>
        <v>272.42699999999996</v>
      </c>
      <c r="P19">
        <v>1</v>
      </c>
    </row>
    <row r="20" spans="1:16" ht="14.25">
      <c r="A20" s="32">
        <v>219</v>
      </c>
      <c r="B20" s="96">
        <f t="shared" si="4"/>
        <v>19</v>
      </c>
      <c r="C20" s="30">
        <f>3.6892+0.0751</f>
        <v>3.7643</v>
      </c>
      <c r="D20" s="30">
        <f>0.1039+0.0651</f>
        <v>0.169</v>
      </c>
      <c r="E20" s="21">
        <f t="shared" si="5"/>
        <v>3.7926</v>
      </c>
      <c r="F20" s="22">
        <f t="shared" si="6"/>
        <v>0.1882</v>
      </c>
      <c r="G20" s="21">
        <f t="shared" si="0"/>
        <v>72.05940000000001</v>
      </c>
      <c r="H20" s="5">
        <f t="shared" si="1"/>
        <v>3.5758</v>
      </c>
      <c r="I20" s="5">
        <f t="shared" si="2"/>
        <v>3.5758</v>
      </c>
      <c r="J20" s="78">
        <f t="shared" si="3"/>
        <v>68.48360000000001</v>
      </c>
      <c r="K20" s="81">
        <f t="shared" si="7"/>
        <v>340.9106</v>
      </c>
      <c r="P20">
        <v>1</v>
      </c>
    </row>
    <row r="21" spans="1:16" ht="14.25">
      <c r="A21" s="32">
        <v>220</v>
      </c>
      <c r="B21" s="96">
        <f t="shared" si="4"/>
        <v>1</v>
      </c>
      <c r="C21" s="30">
        <f>3.7265+0.093</f>
        <v>3.8195</v>
      </c>
      <c r="D21" s="30">
        <f>0.1011+0.0651</f>
        <v>0.16620000000000001</v>
      </c>
      <c r="E21" s="21">
        <f t="shared" si="5"/>
        <v>3.7919</v>
      </c>
      <c r="F21" s="22">
        <f t="shared" si="6"/>
        <v>0.16760000000000003</v>
      </c>
      <c r="G21" s="21">
        <f t="shared" si="0"/>
        <v>3.7919</v>
      </c>
      <c r="H21" s="5">
        <f t="shared" si="1"/>
        <v>0.16760000000000003</v>
      </c>
      <c r="I21" s="5">
        <f t="shared" si="2"/>
        <v>0.16760000000000003</v>
      </c>
      <c r="J21" s="78">
        <f t="shared" si="3"/>
        <v>3.6243</v>
      </c>
      <c r="K21" s="81">
        <f t="shared" si="7"/>
        <v>344.5349</v>
      </c>
      <c r="P21">
        <v>1</v>
      </c>
    </row>
    <row r="22" spans="1:16" ht="14.25">
      <c r="A22" s="32">
        <v>240</v>
      </c>
      <c r="B22" s="96">
        <f aca="true" t="shared" si="8" ref="B22:B27">SUM(A22-A21)</f>
        <v>20</v>
      </c>
      <c r="C22" s="30">
        <f>3.9955+0.0481</f>
        <v>4.0436</v>
      </c>
      <c r="D22" s="30">
        <f>0.0523+0.0292+0.0561</f>
        <v>0.1376</v>
      </c>
      <c r="E22" s="21">
        <f aca="true" t="shared" si="9" ref="E22:E27">SUM(C21:C22)/2</f>
        <v>3.9315499999999997</v>
      </c>
      <c r="F22" s="22">
        <f aca="true" t="shared" si="10" ref="F22:F27">(SUM(D21:D22))/2</f>
        <v>0.1519</v>
      </c>
      <c r="G22" s="21">
        <f aca="true" t="shared" si="11" ref="G22:G38">SUM(E22*B22)</f>
        <v>78.631</v>
      </c>
      <c r="H22" s="5">
        <f aca="true" t="shared" si="12" ref="H22:H38">SUM(F22*B22)</f>
        <v>3.0380000000000003</v>
      </c>
      <c r="I22" s="5">
        <f aca="true" t="shared" si="13" ref="I22:I38">IF(P22=1,H22,G22)</f>
        <v>3.0380000000000003</v>
      </c>
      <c r="J22" s="78">
        <f aca="true" t="shared" si="14" ref="J22:J38">G22-H22</f>
        <v>75.593</v>
      </c>
      <c r="K22" s="81">
        <f aca="true" t="shared" si="15" ref="K22:K27">SUM(J22+K21)</f>
        <v>420.1279</v>
      </c>
      <c r="P22">
        <v>1</v>
      </c>
    </row>
    <row r="23" spans="1:16" ht="14.25">
      <c r="A23" s="32">
        <v>242</v>
      </c>
      <c r="B23" s="96">
        <f t="shared" si="8"/>
        <v>2</v>
      </c>
      <c r="C23" s="30">
        <f>3.9561+0.0831</f>
        <v>4.0392</v>
      </c>
      <c r="D23" s="30">
        <f>0.0553+0.0286+0.056</f>
        <v>0.1399</v>
      </c>
      <c r="E23" s="21">
        <f t="shared" si="9"/>
        <v>4.041399999999999</v>
      </c>
      <c r="F23" s="22">
        <f t="shared" si="10"/>
        <v>0.13874999999999998</v>
      </c>
      <c r="G23" s="21">
        <f t="shared" si="11"/>
        <v>8.082799999999999</v>
      </c>
      <c r="H23" s="5">
        <f t="shared" si="12"/>
        <v>0.27749999999999997</v>
      </c>
      <c r="I23" s="5">
        <f t="shared" si="13"/>
        <v>0.27749999999999997</v>
      </c>
      <c r="J23" s="78">
        <f t="shared" si="14"/>
        <v>7.805299999999999</v>
      </c>
      <c r="K23" s="81">
        <f t="shared" si="15"/>
        <v>427.9332</v>
      </c>
      <c r="P23">
        <v>1</v>
      </c>
    </row>
    <row r="24" spans="1:16" ht="14.25">
      <c r="A24" s="32">
        <v>260</v>
      </c>
      <c r="B24" s="96">
        <f t="shared" si="8"/>
        <v>18</v>
      </c>
      <c r="C24" s="30">
        <v>3.3631</v>
      </c>
      <c r="D24" s="30">
        <f>0.1042+0.0383+0.0323</f>
        <v>0.1748</v>
      </c>
      <c r="E24" s="21">
        <f t="shared" si="9"/>
        <v>3.70115</v>
      </c>
      <c r="F24" s="22">
        <f t="shared" si="10"/>
        <v>0.15735</v>
      </c>
      <c r="G24" s="21">
        <f t="shared" si="11"/>
        <v>66.6207</v>
      </c>
      <c r="H24" s="5">
        <f t="shared" si="12"/>
        <v>2.8323</v>
      </c>
      <c r="I24" s="5">
        <f t="shared" si="13"/>
        <v>2.8323</v>
      </c>
      <c r="J24" s="78">
        <f t="shared" si="14"/>
        <v>63.788399999999996</v>
      </c>
      <c r="K24" s="81">
        <f t="shared" si="15"/>
        <v>491.72159999999997</v>
      </c>
      <c r="P24">
        <v>1</v>
      </c>
    </row>
    <row r="25" spans="1:16" ht="14.25">
      <c r="A25" s="32">
        <v>280</v>
      </c>
      <c r="B25" s="96">
        <f t="shared" si="8"/>
        <v>20</v>
      </c>
      <c r="C25" s="30">
        <v>1.9499</v>
      </c>
      <c r="D25" s="30">
        <f>0.1621+0.7028</f>
        <v>0.8649</v>
      </c>
      <c r="E25" s="21">
        <f t="shared" si="9"/>
        <v>2.6565000000000003</v>
      </c>
      <c r="F25" s="22">
        <f t="shared" si="10"/>
        <v>0.51985</v>
      </c>
      <c r="G25" s="21">
        <f t="shared" si="11"/>
        <v>53.13000000000001</v>
      </c>
      <c r="H25" s="5">
        <f t="shared" si="12"/>
        <v>10.397</v>
      </c>
      <c r="I25" s="5">
        <f t="shared" si="13"/>
        <v>10.397</v>
      </c>
      <c r="J25" s="78">
        <f t="shared" si="14"/>
        <v>42.73300000000001</v>
      </c>
      <c r="K25" s="81">
        <f t="shared" si="15"/>
        <v>534.4546</v>
      </c>
      <c r="P25">
        <v>1</v>
      </c>
    </row>
    <row r="26" spans="1:16" ht="14.25">
      <c r="A26" s="32">
        <v>300</v>
      </c>
      <c r="B26" s="96">
        <f t="shared" si="8"/>
        <v>20</v>
      </c>
      <c r="C26" s="30">
        <v>2.4401</v>
      </c>
      <c r="D26" s="30">
        <f>0.1613+0.238</f>
        <v>0.3993</v>
      </c>
      <c r="E26" s="21">
        <f t="shared" si="9"/>
        <v>2.1950000000000003</v>
      </c>
      <c r="F26" s="22">
        <f t="shared" si="10"/>
        <v>0.6321</v>
      </c>
      <c r="G26" s="21">
        <f t="shared" si="11"/>
        <v>43.900000000000006</v>
      </c>
      <c r="H26" s="5">
        <f t="shared" si="12"/>
        <v>12.642</v>
      </c>
      <c r="I26" s="5">
        <f t="shared" si="13"/>
        <v>12.642</v>
      </c>
      <c r="J26" s="78">
        <f t="shared" si="14"/>
        <v>31.258000000000006</v>
      </c>
      <c r="K26" s="81">
        <f t="shared" si="15"/>
        <v>565.7126000000001</v>
      </c>
      <c r="P26">
        <v>1</v>
      </c>
    </row>
    <row r="27" spans="1:16" ht="14.25">
      <c r="A27" s="32">
        <v>303</v>
      </c>
      <c r="B27" s="96">
        <f t="shared" si="8"/>
        <v>3</v>
      </c>
      <c r="C27" s="30">
        <v>2.4867</v>
      </c>
      <c r="D27" s="30">
        <f>0.1621+0.231</f>
        <v>0.3931</v>
      </c>
      <c r="E27" s="21">
        <f t="shared" si="9"/>
        <v>2.4634</v>
      </c>
      <c r="F27" s="22">
        <f t="shared" si="10"/>
        <v>0.3962</v>
      </c>
      <c r="G27" s="21">
        <f t="shared" si="11"/>
        <v>7.3902</v>
      </c>
      <c r="H27" s="5">
        <f t="shared" si="12"/>
        <v>1.1886</v>
      </c>
      <c r="I27" s="5">
        <f t="shared" si="13"/>
        <v>1.1886</v>
      </c>
      <c r="J27" s="78">
        <f t="shared" si="14"/>
        <v>6.2016</v>
      </c>
      <c r="K27" s="81">
        <f t="shared" si="15"/>
        <v>571.9142</v>
      </c>
      <c r="P27">
        <v>1</v>
      </c>
    </row>
    <row r="28" spans="1:16" ht="14.25">
      <c r="A28" s="32">
        <v>320</v>
      </c>
      <c r="B28" s="96">
        <f aca="true" t="shared" si="16" ref="B28:B40">SUM(A28-A27)</f>
        <v>17</v>
      </c>
      <c r="C28" s="30">
        <v>3.1031</v>
      </c>
      <c r="D28" s="30">
        <f>0.0652+0.0239+0.1532</f>
        <v>0.24230000000000002</v>
      </c>
      <c r="E28" s="21">
        <f aca="true" t="shared" si="17" ref="E28:E40">SUM(C27:C28)/2</f>
        <v>2.7949</v>
      </c>
      <c r="F28" s="22">
        <f aca="true" t="shared" si="18" ref="F28:F40">(SUM(D27:D28))/2</f>
        <v>0.3177</v>
      </c>
      <c r="G28" s="21">
        <f t="shared" si="11"/>
        <v>47.5133</v>
      </c>
      <c r="H28" s="5">
        <f t="shared" si="12"/>
        <v>5.4009</v>
      </c>
      <c r="I28" s="5">
        <f t="shared" si="13"/>
        <v>5.4009</v>
      </c>
      <c r="J28" s="78">
        <f t="shared" si="14"/>
        <v>42.1124</v>
      </c>
      <c r="K28" s="81">
        <f aca="true" t="shared" si="19" ref="K28:K40">SUM(J28+K27)</f>
        <v>614.0266</v>
      </c>
      <c r="P28">
        <v>1</v>
      </c>
    </row>
    <row r="29" spans="1:16" ht="14.25">
      <c r="A29" s="32">
        <v>340</v>
      </c>
      <c r="B29" s="96">
        <f t="shared" si="16"/>
        <v>20</v>
      </c>
      <c r="C29" s="30">
        <v>3.4783</v>
      </c>
      <c r="D29" s="30">
        <f>0.0063+0.0582+0.078+0.0214</f>
        <v>0.16390000000000002</v>
      </c>
      <c r="E29" s="21">
        <f t="shared" si="17"/>
        <v>3.2907</v>
      </c>
      <c r="F29" s="22">
        <f t="shared" si="18"/>
        <v>0.2031</v>
      </c>
      <c r="G29" s="21">
        <f t="shared" si="11"/>
        <v>65.81400000000001</v>
      </c>
      <c r="H29" s="5">
        <f t="shared" si="12"/>
        <v>4.062</v>
      </c>
      <c r="I29" s="5">
        <f t="shared" si="13"/>
        <v>4.062</v>
      </c>
      <c r="J29" s="78">
        <f t="shared" si="14"/>
        <v>61.75200000000001</v>
      </c>
      <c r="K29" s="81">
        <f t="shared" si="19"/>
        <v>675.7786000000001</v>
      </c>
      <c r="P29">
        <v>1</v>
      </c>
    </row>
    <row r="30" spans="1:16" ht="14.25">
      <c r="A30" s="32">
        <v>344</v>
      </c>
      <c r="B30" s="96">
        <f t="shared" si="16"/>
        <v>4</v>
      </c>
      <c r="C30" s="30">
        <v>3.3418</v>
      </c>
      <c r="D30" s="30">
        <f>0.0475+0.0208+0.0886+0.0205</f>
        <v>0.17739999999999997</v>
      </c>
      <c r="E30" s="21">
        <f t="shared" si="17"/>
        <v>3.41005</v>
      </c>
      <c r="F30" s="22">
        <f t="shared" si="18"/>
        <v>0.17065</v>
      </c>
      <c r="G30" s="21">
        <f t="shared" si="11"/>
        <v>13.6402</v>
      </c>
      <c r="H30" s="5">
        <f t="shared" si="12"/>
        <v>0.6826</v>
      </c>
      <c r="I30" s="5">
        <f t="shared" si="13"/>
        <v>0.6826</v>
      </c>
      <c r="J30" s="78">
        <f t="shared" si="14"/>
        <v>12.9576</v>
      </c>
      <c r="K30" s="81">
        <f t="shared" si="19"/>
        <v>688.7362</v>
      </c>
      <c r="P30">
        <v>1</v>
      </c>
    </row>
    <row r="31" spans="1:16" ht="14.25">
      <c r="A31" s="32">
        <v>360</v>
      </c>
      <c r="B31" s="96">
        <f t="shared" si="16"/>
        <v>16</v>
      </c>
      <c r="C31" s="30">
        <v>3.7059</v>
      </c>
      <c r="D31" s="30">
        <f>0.0949+0.1512</f>
        <v>0.24609999999999999</v>
      </c>
      <c r="E31" s="21">
        <f t="shared" si="17"/>
        <v>3.5238500000000004</v>
      </c>
      <c r="F31" s="22">
        <f t="shared" si="18"/>
        <v>0.21175</v>
      </c>
      <c r="G31" s="21">
        <f t="shared" si="11"/>
        <v>56.381600000000006</v>
      </c>
      <c r="H31" s="5">
        <f t="shared" si="12"/>
        <v>3.388</v>
      </c>
      <c r="I31" s="5">
        <f t="shared" si="13"/>
        <v>3.388</v>
      </c>
      <c r="J31" s="78">
        <f t="shared" si="14"/>
        <v>52.99360000000001</v>
      </c>
      <c r="K31" s="81">
        <f t="shared" si="19"/>
        <v>741.7298000000001</v>
      </c>
      <c r="P31">
        <v>1</v>
      </c>
    </row>
    <row r="32" spans="1:16" ht="14.25">
      <c r="A32" s="32">
        <v>378</v>
      </c>
      <c r="B32" s="96">
        <f t="shared" si="16"/>
        <v>18</v>
      </c>
      <c r="C32" s="30">
        <v>3.4696</v>
      </c>
      <c r="D32" s="30">
        <f>0.086+0.0176+0.0742+0.0238</f>
        <v>0.2016</v>
      </c>
      <c r="E32" s="21">
        <f t="shared" si="17"/>
        <v>3.5877499999999998</v>
      </c>
      <c r="F32" s="22">
        <f t="shared" si="18"/>
        <v>0.22385</v>
      </c>
      <c r="G32" s="21">
        <f t="shared" si="11"/>
        <v>64.5795</v>
      </c>
      <c r="H32" s="5">
        <f t="shared" si="12"/>
        <v>4.0293</v>
      </c>
      <c r="I32" s="5">
        <f t="shared" si="13"/>
        <v>4.0293</v>
      </c>
      <c r="J32" s="78">
        <f t="shared" si="14"/>
        <v>60.5502</v>
      </c>
      <c r="K32" s="81">
        <f t="shared" si="19"/>
        <v>802.2800000000001</v>
      </c>
      <c r="P32">
        <v>1</v>
      </c>
    </row>
    <row r="33" spans="1:16" ht="14.25">
      <c r="A33" s="32">
        <v>380</v>
      </c>
      <c r="B33" s="96">
        <f t="shared" si="16"/>
        <v>2</v>
      </c>
      <c r="C33" s="30">
        <v>3.5575</v>
      </c>
      <c r="D33" s="30">
        <f>0.0774+0.02+0.0674+0.0259</f>
        <v>0.1907</v>
      </c>
      <c r="E33" s="21">
        <f t="shared" si="17"/>
        <v>3.51355</v>
      </c>
      <c r="F33" s="22">
        <f t="shared" si="18"/>
        <v>0.19615</v>
      </c>
      <c r="G33" s="21">
        <f t="shared" si="11"/>
        <v>7.0271</v>
      </c>
      <c r="H33" s="5">
        <f t="shared" si="12"/>
        <v>0.3923</v>
      </c>
      <c r="I33" s="5">
        <f t="shared" si="13"/>
        <v>0.3923</v>
      </c>
      <c r="J33" s="78">
        <f t="shared" si="14"/>
        <v>6.6348</v>
      </c>
      <c r="K33" s="81">
        <f t="shared" si="19"/>
        <v>808.9148000000001</v>
      </c>
      <c r="P33">
        <v>1</v>
      </c>
    </row>
    <row r="34" spans="1:16" ht="14.25">
      <c r="A34" s="32">
        <v>400</v>
      </c>
      <c r="B34" s="96">
        <f t="shared" si="16"/>
        <v>20</v>
      </c>
      <c r="C34" s="30">
        <v>4.3701</v>
      </c>
      <c r="D34" s="30">
        <f>0.0244+0.0446+0.0345+0.0443</f>
        <v>0.14780000000000001</v>
      </c>
      <c r="E34" s="21">
        <f t="shared" si="17"/>
        <v>3.9638</v>
      </c>
      <c r="F34" s="22">
        <f t="shared" si="18"/>
        <v>0.16925</v>
      </c>
      <c r="G34" s="21">
        <f t="shared" si="11"/>
        <v>79.276</v>
      </c>
      <c r="H34" s="5">
        <f t="shared" si="12"/>
        <v>3.3850000000000002</v>
      </c>
      <c r="I34" s="5">
        <f t="shared" si="13"/>
        <v>3.3850000000000002</v>
      </c>
      <c r="J34" s="78">
        <f t="shared" si="14"/>
        <v>75.89099999999999</v>
      </c>
      <c r="K34" s="81">
        <f t="shared" si="19"/>
        <v>884.8058000000001</v>
      </c>
      <c r="P34">
        <v>1</v>
      </c>
    </row>
    <row r="35" spans="1:16" ht="14.25">
      <c r="A35" s="32">
        <v>420</v>
      </c>
      <c r="B35" s="96">
        <f t="shared" si="16"/>
        <v>20</v>
      </c>
      <c r="C35" s="30">
        <v>5.0764</v>
      </c>
      <c r="D35" s="30">
        <f>0.0645+0.0648</f>
        <v>0.1293</v>
      </c>
      <c r="E35" s="21">
        <f t="shared" si="17"/>
        <v>4.72325</v>
      </c>
      <c r="F35" s="22">
        <f t="shared" si="18"/>
        <v>0.13855</v>
      </c>
      <c r="G35" s="21">
        <f t="shared" si="11"/>
        <v>94.465</v>
      </c>
      <c r="H35" s="5">
        <f t="shared" si="12"/>
        <v>2.771</v>
      </c>
      <c r="I35" s="5">
        <f t="shared" si="13"/>
        <v>2.771</v>
      </c>
      <c r="J35" s="78">
        <f t="shared" si="14"/>
        <v>91.694</v>
      </c>
      <c r="K35" s="81">
        <f t="shared" si="19"/>
        <v>976.4998</v>
      </c>
      <c r="P35">
        <v>1</v>
      </c>
    </row>
    <row r="36" spans="1:16" ht="14.25">
      <c r="A36" s="32">
        <v>440</v>
      </c>
      <c r="B36" s="96">
        <f t="shared" si="16"/>
        <v>20</v>
      </c>
      <c r="C36" s="30">
        <v>4.0399</v>
      </c>
      <c r="D36" s="30">
        <f>0.0377+0.0353+0.053+0.0302</f>
        <v>0.1562</v>
      </c>
      <c r="E36" s="21">
        <f t="shared" si="17"/>
        <v>4.5581499999999995</v>
      </c>
      <c r="F36" s="22">
        <f t="shared" si="18"/>
        <v>0.14275</v>
      </c>
      <c r="G36" s="21">
        <f t="shared" si="11"/>
        <v>91.16299999999998</v>
      </c>
      <c r="H36" s="5">
        <f t="shared" si="12"/>
        <v>2.8549999999999995</v>
      </c>
      <c r="I36" s="5">
        <f t="shared" si="13"/>
        <v>2.8549999999999995</v>
      </c>
      <c r="J36" s="78">
        <f t="shared" si="14"/>
        <v>88.30799999999998</v>
      </c>
      <c r="K36" s="81">
        <f t="shared" si="19"/>
        <v>1064.8078</v>
      </c>
      <c r="P36">
        <v>1</v>
      </c>
    </row>
    <row r="37" spans="1:16" ht="14.25">
      <c r="A37" s="32">
        <v>444</v>
      </c>
      <c r="B37" s="96">
        <f t="shared" si="16"/>
        <v>4</v>
      </c>
      <c r="C37" s="30">
        <v>3.7152</v>
      </c>
      <c r="D37" s="30">
        <f>0.0611+0.0263+0.0614+0.0266</f>
        <v>0.1754</v>
      </c>
      <c r="E37" s="21">
        <f t="shared" si="17"/>
        <v>3.8775500000000003</v>
      </c>
      <c r="F37" s="22">
        <f t="shared" si="18"/>
        <v>0.1658</v>
      </c>
      <c r="G37" s="21">
        <f t="shared" si="11"/>
        <v>15.510200000000001</v>
      </c>
      <c r="H37" s="5">
        <f t="shared" si="12"/>
        <v>0.6632</v>
      </c>
      <c r="I37" s="5">
        <f t="shared" si="13"/>
        <v>0.6632</v>
      </c>
      <c r="J37" s="78">
        <f t="shared" si="14"/>
        <v>14.847000000000001</v>
      </c>
      <c r="K37" s="81">
        <f t="shared" si="19"/>
        <v>1079.6548</v>
      </c>
      <c r="P37">
        <v>1</v>
      </c>
    </row>
    <row r="38" spans="1:16" ht="14.25">
      <c r="A38" s="32">
        <v>460</v>
      </c>
      <c r="B38" s="96">
        <f t="shared" si="16"/>
        <v>16</v>
      </c>
      <c r="C38" s="30">
        <v>3.6242</v>
      </c>
      <c r="D38" s="30">
        <f>0.0448+0.032+0.0449+0.0333</f>
        <v>0.155</v>
      </c>
      <c r="E38" s="21">
        <f t="shared" si="17"/>
        <v>3.6696999999999997</v>
      </c>
      <c r="F38" s="22">
        <f t="shared" si="18"/>
        <v>0.1652</v>
      </c>
      <c r="G38" s="21">
        <f t="shared" si="11"/>
        <v>58.715199999999996</v>
      </c>
      <c r="H38" s="5">
        <f t="shared" si="12"/>
        <v>2.6432</v>
      </c>
      <c r="I38" s="5">
        <f t="shared" si="13"/>
        <v>2.6432</v>
      </c>
      <c r="J38" s="78">
        <f t="shared" si="14"/>
        <v>56.071999999999996</v>
      </c>
      <c r="K38" s="81">
        <f t="shared" si="19"/>
        <v>1135.7268</v>
      </c>
      <c r="P38">
        <v>1</v>
      </c>
    </row>
    <row r="39" spans="1:16" ht="14.25">
      <c r="A39" s="32">
        <v>480</v>
      </c>
      <c r="B39" s="96">
        <f t="shared" si="16"/>
        <v>20</v>
      </c>
      <c r="C39" s="30">
        <v>3.5372</v>
      </c>
      <c r="D39" s="30">
        <f>0.0701+0.0225+0.1083+0.0146</f>
        <v>0.21549999999999997</v>
      </c>
      <c r="E39" s="21">
        <f t="shared" si="17"/>
        <v>3.5807</v>
      </c>
      <c r="F39" s="22">
        <f t="shared" si="18"/>
        <v>0.18524999999999997</v>
      </c>
      <c r="G39" s="21">
        <f aca="true" t="shared" si="20" ref="G39:G71">SUM(E39*B39)</f>
        <v>71.614</v>
      </c>
      <c r="H39" s="5">
        <f aca="true" t="shared" si="21" ref="H39:H71">SUM(F39*B39)</f>
        <v>3.704999999999999</v>
      </c>
      <c r="I39" s="5">
        <f aca="true" t="shared" si="22" ref="I39:I71">IF(P39=1,H39,G39)</f>
        <v>3.704999999999999</v>
      </c>
      <c r="J39" s="78">
        <f aca="true" t="shared" si="23" ref="J39:J71">G39-H39</f>
        <v>67.909</v>
      </c>
      <c r="K39" s="81">
        <f t="shared" si="19"/>
        <v>1203.6358</v>
      </c>
      <c r="P39">
        <v>1</v>
      </c>
    </row>
    <row r="40" spans="1:16" ht="14.25">
      <c r="A40" s="32">
        <v>500</v>
      </c>
      <c r="B40" s="96">
        <f t="shared" si="16"/>
        <v>20</v>
      </c>
      <c r="C40" s="30">
        <v>2.8597</v>
      </c>
      <c r="D40" s="30">
        <f>0.0758+0.0188+0.157</f>
        <v>0.2516</v>
      </c>
      <c r="E40" s="21">
        <f t="shared" si="17"/>
        <v>3.1984500000000002</v>
      </c>
      <c r="F40" s="22">
        <f t="shared" si="18"/>
        <v>0.23354999999999998</v>
      </c>
      <c r="G40" s="21">
        <f t="shared" si="20"/>
        <v>63.96900000000001</v>
      </c>
      <c r="H40" s="5">
        <f t="shared" si="21"/>
        <v>4.670999999999999</v>
      </c>
      <c r="I40" s="5">
        <f t="shared" si="22"/>
        <v>4.670999999999999</v>
      </c>
      <c r="J40" s="78">
        <f t="shared" si="23"/>
        <v>59.29800000000001</v>
      </c>
      <c r="K40" s="81">
        <f t="shared" si="19"/>
        <v>1262.9338</v>
      </c>
      <c r="P40">
        <v>1</v>
      </c>
    </row>
    <row r="41" spans="1:16" ht="14.25">
      <c r="A41" s="32">
        <v>520</v>
      </c>
      <c r="B41" s="96">
        <f aca="true" t="shared" si="24" ref="B41:B57">SUM(A41-A40)</f>
        <v>20</v>
      </c>
      <c r="C41" s="30">
        <v>3.6559</v>
      </c>
      <c r="D41" s="30">
        <f>0.0879+0.0173+0.2166</f>
        <v>0.3218</v>
      </c>
      <c r="E41" s="21">
        <f aca="true" t="shared" si="25" ref="E41:E56">SUM(C40:C41)/2</f>
        <v>3.2578</v>
      </c>
      <c r="F41" s="22">
        <f aca="true" t="shared" si="26" ref="F41:F56">(SUM(D40:D41))/2</f>
        <v>0.28669999999999995</v>
      </c>
      <c r="G41" s="21">
        <f t="shared" si="20"/>
        <v>65.156</v>
      </c>
      <c r="H41" s="5">
        <f t="shared" si="21"/>
        <v>5.733999999999999</v>
      </c>
      <c r="I41" s="5">
        <f t="shared" si="22"/>
        <v>5.733999999999999</v>
      </c>
      <c r="J41" s="78">
        <f t="shared" si="23"/>
        <v>59.422000000000004</v>
      </c>
      <c r="K41" s="81">
        <f aca="true" t="shared" si="27" ref="K41:K56">SUM(J41+K40)</f>
        <v>1322.3558</v>
      </c>
      <c r="P41">
        <v>1</v>
      </c>
    </row>
    <row r="42" spans="1:16" ht="14.25">
      <c r="A42" s="32">
        <v>540</v>
      </c>
      <c r="B42" s="96">
        <f t="shared" si="24"/>
        <v>20</v>
      </c>
      <c r="C42" s="30">
        <v>3.4729</v>
      </c>
      <c r="D42" s="30">
        <f>0.1014+0.1059</f>
        <v>0.20729999999999998</v>
      </c>
      <c r="E42" s="21">
        <f t="shared" si="25"/>
        <v>3.5644</v>
      </c>
      <c r="F42" s="22">
        <f t="shared" si="26"/>
        <v>0.26454999999999995</v>
      </c>
      <c r="G42" s="21">
        <f t="shared" si="20"/>
        <v>71.288</v>
      </c>
      <c r="H42" s="5">
        <f t="shared" si="21"/>
        <v>5.290999999999999</v>
      </c>
      <c r="I42" s="5">
        <f t="shared" si="22"/>
        <v>5.290999999999999</v>
      </c>
      <c r="J42" s="78">
        <f t="shared" si="23"/>
        <v>65.997</v>
      </c>
      <c r="K42" s="81">
        <f t="shared" si="27"/>
        <v>1388.3528000000001</v>
      </c>
      <c r="P42">
        <v>1</v>
      </c>
    </row>
    <row r="43" spans="1:16" ht="14.25">
      <c r="A43" s="32">
        <v>549</v>
      </c>
      <c r="B43" s="96">
        <f t="shared" si="24"/>
        <v>9</v>
      </c>
      <c r="C43" s="30">
        <v>3.0149</v>
      </c>
      <c r="D43" s="30">
        <f>0.1317+0.1209</f>
        <v>0.2526</v>
      </c>
      <c r="E43" s="21">
        <f t="shared" si="25"/>
        <v>3.2439</v>
      </c>
      <c r="F43" s="22">
        <f t="shared" si="26"/>
        <v>0.22995</v>
      </c>
      <c r="G43" s="21">
        <f t="shared" si="20"/>
        <v>29.1951</v>
      </c>
      <c r="H43" s="5">
        <f t="shared" si="21"/>
        <v>2.06955</v>
      </c>
      <c r="I43" s="5">
        <f t="shared" si="22"/>
        <v>2.06955</v>
      </c>
      <c r="J43" s="78">
        <f t="shared" si="23"/>
        <v>27.12555</v>
      </c>
      <c r="K43" s="81">
        <f t="shared" si="27"/>
        <v>1415.47835</v>
      </c>
      <c r="P43">
        <v>1</v>
      </c>
    </row>
    <row r="44" spans="1:16" ht="14.25">
      <c r="A44" s="32">
        <v>560</v>
      </c>
      <c r="B44" s="96">
        <f t="shared" si="24"/>
        <v>11</v>
      </c>
      <c r="C44" s="30">
        <v>3.5068</v>
      </c>
      <c r="D44" s="30">
        <f>0.1914+0.1355</f>
        <v>0.32689999999999997</v>
      </c>
      <c r="E44" s="21">
        <f t="shared" si="25"/>
        <v>3.26085</v>
      </c>
      <c r="F44" s="22">
        <f t="shared" si="26"/>
        <v>0.28974999999999995</v>
      </c>
      <c r="G44" s="21">
        <f t="shared" si="20"/>
        <v>35.86935</v>
      </c>
      <c r="H44" s="5">
        <f t="shared" si="21"/>
        <v>3.1872499999999997</v>
      </c>
      <c r="I44" s="5">
        <f t="shared" si="22"/>
        <v>3.1872499999999997</v>
      </c>
      <c r="J44" s="78">
        <f t="shared" si="23"/>
        <v>32.6821</v>
      </c>
      <c r="K44" s="81">
        <f t="shared" si="27"/>
        <v>1448.16045</v>
      </c>
      <c r="P44">
        <v>1</v>
      </c>
    </row>
    <row r="45" spans="1:16" ht="14.25">
      <c r="A45" s="32">
        <v>567</v>
      </c>
      <c r="B45" s="96">
        <f t="shared" si="24"/>
        <v>7</v>
      </c>
      <c r="C45" s="30">
        <v>2.9492</v>
      </c>
      <c r="D45" s="30">
        <f>0.1577+0.1204</f>
        <v>0.2781</v>
      </c>
      <c r="E45" s="21">
        <f t="shared" si="25"/>
        <v>3.2279999999999998</v>
      </c>
      <c r="F45" s="22">
        <f t="shared" si="26"/>
        <v>0.3025</v>
      </c>
      <c r="G45" s="21">
        <f t="shared" si="20"/>
        <v>22.595999999999997</v>
      </c>
      <c r="H45" s="5">
        <f t="shared" si="21"/>
        <v>2.1174999999999997</v>
      </c>
      <c r="I45" s="5">
        <f t="shared" si="22"/>
        <v>2.1174999999999997</v>
      </c>
      <c r="J45" s="78">
        <f t="shared" si="23"/>
        <v>20.478499999999997</v>
      </c>
      <c r="K45" s="81">
        <f t="shared" si="27"/>
        <v>1468.63895</v>
      </c>
      <c r="P45">
        <v>1</v>
      </c>
    </row>
    <row r="46" spans="1:16" ht="14.25">
      <c r="A46" s="32">
        <v>580</v>
      </c>
      <c r="B46" s="96">
        <f t="shared" si="24"/>
        <v>13</v>
      </c>
      <c r="C46" s="30">
        <f>3.7686+1.1131</f>
        <v>4.8817</v>
      </c>
      <c r="D46" s="30">
        <f>0.1114+0.1372</f>
        <v>0.2486</v>
      </c>
      <c r="E46" s="21">
        <f t="shared" si="25"/>
        <v>3.91545</v>
      </c>
      <c r="F46" s="22">
        <f t="shared" si="26"/>
        <v>0.26335</v>
      </c>
      <c r="G46" s="21">
        <f t="shared" si="20"/>
        <v>50.90085</v>
      </c>
      <c r="H46" s="5">
        <f t="shared" si="21"/>
        <v>3.4235499999999996</v>
      </c>
      <c r="I46" s="5">
        <f t="shared" si="22"/>
        <v>3.4235499999999996</v>
      </c>
      <c r="J46" s="78">
        <f t="shared" si="23"/>
        <v>47.4773</v>
      </c>
      <c r="K46" s="81">
        <f t="shared" si="27"/>
        <v>1516.11625</v>
      </c>
      <c r="P46">
        <v>1</v>
      </c>
    </row>
    <row r="47" spans="1:16" ht="14.25">
      <c r="A47" s="32">
        <v>600</v>
      </c>
      <c r="B47" s="96">
        <f t="shared" si="24"/>
        <v>20</v>
      </c>
      <c r="C47" s="30">
        <f>5.0352+1.3039</f>
        <v>6.3391</v>
      </c>
      <c r="D47" s="30">
        <f>0.0684+0.0651</f>
        <v>0.1335</v>
      </c>
      <c r="E47" s="21">
        <f t="shared" si="25"/>
        <v>5.6104</v>
      </c>
      <c r="F47" s="22">
        <f t="shared" si="26"/>
        <v>0.19105</v>
      </c>
      <c r="G47" s="21">
        <f t="shared" si="20"/>
        <v>112.208</v>
      </c>
      <c r="H47" s="5">
        <f t="shared" si="21"/>
        <v>3.8209999999999997</v>
      </c>
      <c r="I47" s="5">
        <f t="shared" si="22"/>
        <v>3.8209999999999997</v>
      </c>
      <c r="J47" s="78">
        <f t="shared" si="23"/>
        <v>108.387</v>
      </c>
      <c r="K47" s="81">
        <f t="shared" si="27"/>
        <v>1624.50325</v>
      </c>
      <c r="P47">
        <v>1</v>
      </c>
    </row>
    <row r="48" spans="1:16" ht="14.25">
      <c r="A48" s="32">
        <v>620</v>
      </c>
      <c r="B48" s="96">
        <f t="shared" si="24"/>
        <v>20</v>
      </c>
      <c r="C48" s="30">
        <f>5.1123+1.0916</f>
        <v>6.2039</v>
      </c>
      <c r="D48" s="30">
        <f>0.0649+0.0649</f>
        <v>0.1298</v>
      </c>
      <c r="E48" s="21">
        <f t="shared" si="25"/>
        <v>6.2715</v>
      </c>
      <c r="F48" s="22">
        <f t="shared" si="26"/>
        <v>0.13165</v>
      </c>
      <c r="G48" s="21">
        <f t="shared" si="20"/>
        <v>125.42999999999999</v>
      </c>
      <c r="H48" s="5">
        <f t="shared" si="21"/>
        <v>2.633</v>
      </c>
      <c r="I48" s="5">
        <f t="shared" si="22"/>
        <v>2.633</v>
      </c>
      <c r="J48" s="78">
        <f t="shared" si="23"/>
        <v>122.797</v>
      </c>
      <c r="K48" s="81">
        <f t="shared" si="27"/>
        <v>1747.30025</v>
      </c>
      <c r="P48">
        <v>1</v>
      </c>
    </row>
    <row r="49" spans="1:16" ht="14.25">
      <c r="A49" s="32">
        <v>630</v>
      </c>
      <c r="B49" s="96">
        <f t="shared" si="24"/>
        <v>10</v>
      </c>
      <c r="C49" s="30">
        <f>4.8852+0.9994</f>
        <v>5.8846</v>
      </c>
      <c r="D49" s="30">
        <f>0.0651+0.065</f>
        <v>0.1301</v>
      </c>
      <c r="E49" s="21">
        <f t="shared" si="25"/>
        <v>6.04425</v>
      </c>
      <c r="F49" s="22">
        <f t="shared" si="26"/>
        <v>0.12995</v>
      </c>
      <c r="G49" s="21">
        <f t="shared" si="20"/>
        <v>60.442499999999995</v>
      </c>
      <c r="H49" s="5">
        <f t="shared" si="21"/>
        <v>1.2995</v>
      </c>
      <c r="I49" s="5">
        <f t="shared" si="22"/>
        <v>1.2995</v>
      </c>
      <c r="J49" s="78">
        <f t="shared" si="23"/>
        <v>59.142999999999994</v>
      </c>
      <c r="K49" s="81">
        <f t="shared" si="27"/>
        <v>1806.44325</v>
      </c>
      <c r="P49">
        <v>1</v>
      </c>
    </row>
    <row r="50" spans="1:16" ht="14.25">
      <c r="A50" s="32">
        <v>640</v>
      </c>
      <c r="B50" s="96">
        <f t="shared" si="24"/>
        <v>10</v>
      </c>
      <c r="C50" s="30">
        <f>4.6629+1.2082</f>
        <v>5.871099999999999</v>
      </c>
      <c r="D50" s="30">
        <f>0.0654+0.0649</f>
        <v>0.1303</v>
      </c>
      <c r="E50" s="21">
        <f t="shared" si="25"/>
        <v>5.87785</v>
      </c>
      <c r="F50" s="22">
        <f t="shared" si="26"/>
        <v>0.13019999999999998</v>
      </c>
      <c r="G50" s="21">
        <f t="shared" si="20"/>
        <v>58.778499999999994</v>
      </c>
      <c r="H50" s="5">
        <f t="shared" si="21"/>
        <v>1.3019999999999998</v>
      </c>
      <c r="I50" s="5">
        <f t="shared" si="22"/>
        <v>1.3019999999999998</v>
      </c>
      <c r="J50" s="78">
        <f t="shared" si="23"/>
        <v>57.476499999999994</v>
      </c>
      <c r="K50" s="81">
        <f t="shared" si="27"/>
        <v>1863.91975</v>
      </c>
      <c r="P50">
        <v>1</v>
      </c>
    </row>
    <row r="51" spans="1:16" ht="14.25">
      <c r="A51" s="32">
        <v>660</v>
      </c>
      <c r="B51" s="96">
        <f t="shared" si="24"/>
        <v>20</v>
      </c>
      <c r="C51" s="30">
        <f>4.3003+1.2084</f>
        <v>5.5087</v>
      </c>
      <c r="D51" s="30">
        <f>0.0677+0.0676</f>
        <v>0.13529999999999998</v>
      </c>
      <c r="E51" s="21">
        <f t="shared" si="25"/>
        <v>5.6899</v>
      </c>
      <c r="F51" s="22">
        <f t="shared" si="26"/>
        <v>0.13279999999999997</v>
      </c>
      <c r="G51" s="21">
        <f t="shared" si="20"/>
        <v>113.798</v>
      </c>
      <c r="H51" s="5">
        <f t="shared" si="21"/>
        <v>2.6559999999999997</v>
      </c>
      <c r="I51" s="5">
        <f t="shared" si="22"/>
        <v>2.6559999999999997</v>
      </c>
      <c r="J51" s="78">
        <f t="shared" si="23"/>
        <v>111.142</v>
      </c>
      <c r="K51" s="81">
        <f t="shared" si="27"/>
        <v>1975.06175</v>
      </c>
      <c r="P51">
        <v>1</v>
      </c>
    </row>
    <row r="52" spans="1:16" ht="14.25">
      <c r="A52" s="32">
        <v>677</v>
      </c>
      <c r="B52" s="96">
        <f t="shared" si="24"/>
        <v>17</v>
      </c>
      <c r="C52" s="30">
        <v>3.9301</v>
      </c>
      <c r="D52" s="30">
        <f>0.0813+0.0696</f>
        <v>0.15089999999999998</v>
      </c>
      <c r="E52" s="21">
        <f t="shared" si="25"/>
        <v>4.7194</v>
      </c>
      <c r="F52" s="22">
        <f t="shared" si="26"/>
        <v>0.14309999999999998</v>
      </c>
      <c r="G52" s="21">
        <f t="shared" si="20"/>
        <v>80.22980000000001</v>
      </c>
      <c r="H52" s="5">
        <f t="shared" si="21"/>
        <v>2.4326999999999996</v>
      </c>
      <c r="I52" s="5">
        <f t="shared" si="22"/>
        <v>2.4326999999999996</v>
      </c>
      <c r="J52" s="78">
        <f t="shared" si="23"/>
        <v>77.79710000000001</v>
      </c>
      <c r="K52" s="81">
        <f t="shared" si="27"/>
        <v>2052.85885</v>
      </c>
      <c r="P52">
        <v>1</v>
      </c>
    </row>
    <row r="53" spans="1:16" ht="14.25">
      <c r="A53" s="32">
        <v>680</v>
      </c>
      <c r="B53" s="96">
        <f t="shared" si="24"/>
        <v>3</v>
      </c>
      <c r="C53" s="30">
        <v>3.8634</v>
      </c>
      <c r="D53" s="30">
        <f>0.084+0.0707</f>
        <v>0.1547</v>
      </c>
      <c r="E53" s="21">
        <f t="shared" si="25"/>
        <v>3.89675</v>
      </c>
      <c r="F53" s="22">
        <f t="shared" si="26"/>
        <v>0.1528</v>
      </c>
      <c r="G53" s="21">
        <f t="shared" si="20"/>
        <v>11.690249999999999</v>
      </c>
      <c r="H53" s="5">
        <f t="shared" si="21"/>
        <v>0.4584</v>
      </c>
      <c r="I53" s="5">
        <f t="shared" si="22"/>
        <v>0.4584</v>
      </c>
      <c r="J53" s="78">
        <f t="shared" si="23"/>
        <v>11.23185</v>
      </c>
      <c r="K53" s="81">
        <f t="shared" si="27"/>
        <v>2064.0907</v>
      </c>
      <c r="P53">
        <v>1</v>
      </c>
    </row>
    <row r="54" spans="1:16" ht="14.25">
      <c r="A54" s="32">
        <v>700</v>
      </c>
      <c r="B54" s="96">
        <f t="shared" si="24"/>
        <v>20</v>
      </c>
      <c r="C54" s="30">
        <v>4.1832</v>
      </c>
      <c r="D54" s="30">
        <f>0.0986+0.1507</f>
        <v>0.2493</v>
      </c>
      <c r="E54" s="21">
        <f t="shared" si="25"/>
        <v>4.0233</v>
      </c>
      <c r="F54" s="22">
        <f t="shared" si="26"/>
        <v>0.202</v>
      </c>
      <c r="G54" s="21">
        <f t="shared" si="20"/>
        <v>80.466</v>
      </c>
      <c r="H54" s="5">
        <f t="shared" si="21"/>
        <v>4.04</v>
      </c>
      <c r="I54" s="5">
        <f t="shared" si="22"/>
        <v>4.04</v>
      </c>
      <c r="J54" s="78">
        <f t="shared" si="23"/>
        <v>76.42599999999999</v>
      </c>
      <c r="K54" s="81">
        <f t="shared" si="27"/>
        <v>2140.5167</v>
      </c>
      <c r="P54">
        <v>1</v>
      </c>
    </row>
    <row r="55" spans="1:16" ht="14.25">
      <c r="A55" s="32">
        <v>720</v>
      </c>
      <c r="B55" s="96">
        <f t="shared" si="24"/>
        <v>20</v>
      </c>
      <c r="C55" s="30">
        <v>4.0645</v>
      </c>
      <c r="D55" s="30">
        <f>0.1132+0.1322</f>
        <v>0.2454</v>
      </c>
      <c r="E55" s="21">
        <f t="shared" si="25"/>
        <v>4.12385</v>
      </c>
      <c r="F55" s="22">
        <f t="shared" si="26"/>
        <v>0.24735000000000001</v>
      </c>
      <c r="G55" s="21">
        <f t="shared" si="20"/>
        <v>82.477</v>
      </c>
      <c r="H55" s="5">
        <f t="shared" si="21"/>
        <v>4.947</v>
      </c>
      <c r="I55" s="5">
        <f t="shared" si="22"/>
        <v>4.947</v>
      </c>
      <c r="J55" s="78">
        <f t="shared" si="23"/>
        <v>77.53</v>
      </c>
      <c r="K55" s="81">
        <f t="shared" si="27"/>
        <v>2218.0467000000003</v>
      </c>
      <c r="P55">
        <v>1</v>
      </c>
    </row>
    <row r="56" spans="1:16" ht="14.25">
      <c r="A56" s="32">
        <v>729</v>
      </c>
      <c r="B56" s="96">
        <f t="shared" si="24"/>
        <v>9</v>
      </c>
      <c r="C56" s="30">
        <v>3.9141</v>
      </c>
      <c r="D56" s="30">
        <f>0.1215+0.143</f>
        <v>0.26449999999999996</v>
      </c>
      <c r="E56" s="21">
        <f t="shared" si="25"/>
        <v>3.9893</v>
      </c>
      <c r="F56" s="22">
        <f t="shared" si="26"/>
        <v>0.25495</v>
      </c>
      <c r="G56" s="21">
        <f t="shared" si="20"/>
        <v>35.9037</v>
      </c>
      <c r="H56" s="5">
        <f t="shared" si="21"/>
        <v>2.29455</v>
      </c>
      <c r="I56" s="5">
        <f t="shared" si="22"/>
        <v>2.29455</v>
      </c>
      <c r="J56" s="78">
        <f t="shared" si="23"/>
        <v>33.60915</v>
      </c>
      <c r="K56" s="81">
        <f t="shared" si="27"/>
        <v>2251.65585</v>
      </c>
      <c r="P56">
        <v>1</v>
      </c>
    </row>
    <row r="57" spans="1:16" ht="14.25">
      <c r="A57" s="32">
        <v>740</v>
      </c>
      <c r="B57" s="96">
        <f t="shared" si="24"/>
        <v>11</v>
      </c>
      <c r="C57" s="30">
        <v>4.0292</v>
      </c>
      <c r="D57" s="30">
        <f>0.2634+0.0756</f>
        <v>0.339</v>
      </c>
      <c r="E57" s="21">
        <f>SUM(C56:C57)/2</f>
        <v>3.9716500000000003</v>
      </c>
      <c r="F57" s="22">
        <f>(SUM(D56:D57))/2</f>
        <v>0.30174999999999996</v>
      </c>
      <c r="G57" s="21">
        <f>SUM(E57*B57)</f>
        <v>43.68815000000001</v>
      </c>
      <c r="H57" s="5">
        <f>SUM(F57*B57)</f>
        <v>3.3192499999999994</v>
      </c>
      <c r="I57" s="5">
        <f>IF(P57=1,H57,G57)</f>
        <v>3.3192499999999994</v>
      </c>
      <c r="J57" s="78">
        <f>G57-H57</f>
        <v>40.36890000000001</v>
      </c>
      <c r="K57" s="81">
        <f>SUM(J57+K56)</f>
        <v>2292.02475</v>
      </c>
      <c r="P57">
        <v>1</v>
      </c>
    </row>
    <row r="58" spans="1:16" ht="14.25">
      <c r="A58" s="32">
        <v>760</v>
      </c>
      <c r="B58" s="96">
        <f aca="true" t="shared" si="28" ref="B58:B68">SUM(A58-A57)</f>
        <v>20</v>
      </c>
      <c r="C58" s="30">
        <v>3.206</v>
      </c>
      <c r="D58" s="30">
        <f>0.1472+0.079</f>
        <v>0.2262</v>
      </c>
      <c r="E58" s="21">
        <f aca="true" t="shared" si="29" ref="E58:E68">SUM(C57:C58)/2</f>
        <v>3.6176000000000004</v>
      </c>
      <c r="F58" s="22">
        <f aca="true" t="shared" si="30" ref="F58:F68">(SUM(D57:D58))/2</f>
        <v>0.2826</v>
      </c>
      <c r="G58" s="21">
        <f t="shared" si="20"/>
        <v>72.352</v>
      </c>
      <c r="H58" s="5">
        <f t="shared" si="21"/>
        <v>5.652</v>
      </c>
      <c r="I58" s="5">
        <f t="shared" si="22"/>
        <v>5.652</v>
      </c>
      <c r="J58" s="78">
        <f t="shared" si="23"/>
        <v>66.7</v>
      </c>
      <c r="K58" s="81">
        <f aca="true" t="shared" si="31" ref="K58:K68">SUM(J58+K57)</f>
        <v>2358.72475</v>
      </c>
      <c r="P58">
        <v>1</v>
      </c>
    </row>
    <row r="59" spans="1:16" ht="14.25">
      <c r="A59" s="32">
        <v>764</v>
      </c>
      <c r="B59" s="96">
        <f t="shared" si="28"/>
        <v>4</v>
      </c>
      <c r="C59" s="30">
        <v>3.3991</v>
      </c>
      <c r="D59" s="30">
        <f>0.1228+0.0719</f>
        <v>0.1947</v>
      </c>
      <c r="E59" s="21">
        <f t="shared" si="29"/>
        <v>3.30255</v>
      </c>
      <c r="F59" s="22">
        <f t="shared" si="30"/>
        <v>0.21045000000000003</v>
      </c>
      <c r="G59" s="21">
        <f t="shared" si="20"/>
        <v>13.2102</v>
      </c>
      <c r="H59" s="5">
        <f t="shared" si="21"/>
        <v>0.8418000000000001</v>
      </c>
      <c r="I59" s="5">
        <f t="shared" si="22"/>
        <v>0.8418000000000001</v>
      </c>
      <c r="J59" s="78">
        <f t="shared" si="23"/>
        <v>12.368400000000001</v>
      </c>
      <c r="K59" s="81">
        <f t="shared" si="31"/>
        <v>2371.0931499999997</v>
      </c>
      <c r="P59">
        <v>1</v>
      </c>
    </row>
    <row r="60" spans="1:16" ht="14.25">
      <c r="A60" s="32">
        <v>780</v>
      </c>
      <c r="B60" s="96">
        <f t="shared" si="28"/>
        <v>16</v>
      </c>
      <c r="C60" s="30">
        <v>3.9889</v>
      </c>
      <c r="D60" s="30">
        <f>0.0979+0.0652</f>
        <v>0.1631</v>
      </c>
      <c r="E60" s="21">
        <f t="shared" si="29"/>
        <v>3.694</v>
      </c>
      <c r="F60" s="22">
        <f t="shared" si="30"/>
        <v>0.1789</v>
      </c>
      <c r="G60" s="21">
        <f t="shared" si="20"/>
        <v>59.104</v>
      </c>
      <c r="H60" s="5">
        <f t="shared" si="21"/>
        <v>2.8624</v>
      </c>
      <c r="I60" s="5">
        <f t="shared" si="22"/>
        <v>2.8624</v>
      </c>
      <c r="J60" s="78">
        <f t="shared" si="23"/>
        <v>56.2416</v>
      </c>
      <c r="K60" s="81">
        <f t="shared" si="31"/>
        <v>2427.3347499999995</v>
      </c>
      <c r="P60">
        <v>1</v>
      </c>
    </row>
    <row r="61" spans="1:16" ht="14.25">
      <c r="A61" s="32">
        <v>800</v>
      </c>
      <c r="B61" s="96">
        <f t="shared" si="28"/>
        <v>20</v>
      </c>
      <c r="C61" s="84">
        <v>3.9143</v>
      </c>
      <c r="D61" s="84">
        <f>0.0951+0.0642</f>
        <v>0.1593</v>
      </c>
      <c r="E61" s="21">
        <f t="shared" si="29"/>
        <v>3.9516</v>
      </c>
      <c r="F61" s="22">
        <f t="shared" si="30"/>
        <v>0.1612</v>
      </c>
      <c r="G61" s="21">
        <f t="shared" si="20"/>
        <v>79.032</v>
      </c>
      <c r="H61" s="5">
        <f t="shared" si="21"/>
        <v>3.224</v>
      </c>
      <c r="I61" s="5">
        <f t="shared" si="22"/>
        <v>3.224</v>
      </c>
      <c r="J61" s="78">
        <f t="shared" si="23"/>
        <v>75.80799999999999</v>
      </c>
      <c r="K61" s="81">
        <f t="shared" si="31"/>
        <v>2503.1427499999995</v>
      </c>
      <c r="P61">
        <v>1</v>
      </c>
    </row>
    <row r="62" spans="1:16" ht="14.25">
      <c r="A62" s="32">
        <v>820</v>
      </c>
      <c r="B62" s="102">
        <f t="shared" si="28"/>
        <v>20</v>
      </c>
      <c r="C62" s="103">
        <v>3.8198</v>
      </c>
      <c r="D62" s="103">
        <f>0.0937+0.0662</f>
        <v>0.1599</v>
      </c>
      <c r="E62" s="22">
        <f t="shared" si="29"/>
        <v>3.86705</v>
      </c>
      <c r="F62" s="22">
        <f t="shared" si="30"/>
        <v>0.1596</v>
      </c>
      <c r="G62" s="21">
        <f t="shared" si="20"/>
        <v>77.341</v>
      </c>
      <c r="H62" s="5">
        <f t="shared" si="21"/>
        <v>3.1919999999999997</v>
      </c>
      <c r="I62" s="5">
        <f t="shared" si="22"/>
        <v>3.1919999999999997</v>
      </c>
      <c r="J62" s="78">
        <f t="shared" si="23"/>
        <v>74.149</v>
      </c>
      <c r="K62" s="81">
        <f t="shared" si="31"/>
        <v>2577.2917499999994</v>
      </c>
      <c r="P62">
        <v>1</v>
      </c>
    </row>
    <row r="63" spans="1:16" ht="14.25">
      <c r="A63" s="32">
        <v>840</v>
      </c>
      <c r="B63" s="102">
        <f t="shared" si="28"/>
        <v>20</v>
      </c>
      <c r="C63" s="103">
        <v>3.7164</v>
      </c>
      <c r="D63" s="103">
        <f>0.0968+0.0689</f>
        <v>0.16570000000000001</v>
      </c>
      <c r="E63" s="22">
        <f t="shared" si="29"/>
        <v>3.7681</v>
      </c>
      <c r="F63" s="22">
        <f t="shared" si="30"/>
        <v>0.1628</v>
      </c>
      <c r="G63" s="21">
        <f t="shared" si="20"/>
        <v>75.362</v>
      </c>
      <c r="H63" s="5">
        <f t="shared" si="21"/>
        <v>3.2560000000000002</v>
      </c>
      <c r="I63" s="5">
        <f t="shared" si="22"/>
        <v>3.2560000000000002</v>
      </c>
      <c r="J63" s="78">
        <f t="shared" si="23"/>
        <v>72.106</v>
      </c>
      <c r="K63" s="81">
        <f t="shared" si="31"/>
        <v>2649.397749999999</v>
      </c>
      <c r="P63">
        <v>1</v>
      </c>
    </row>
    <row r="64" spans="1:16" ht="14.25">
      <c r="A64" s="32">
        <v>860</v>
      </c>
      <c r="B64" s="96">
        <f t="shared" si="28"/>
        <v>20</v>
      </c>
      <c r="C64" s="30">
        <v>3.7759</v>
      </c>
      <c r="D64" s="30">
        <f>0.0618+0.0799</f>
        <v>0.1417</v>
      </c>
      <c r="E64" s="21">
        <f t="shared" si="29"/>
        <v>3.74615</v>
      </c>
      <c r="F64" s="22">
        <f t="shared" si="30"/>
        <v>0.1537</v>
      </c>
      <c r="G64" s="21">
        <f t="shared" si="20"/>
        <v>74.923</v>
      </c>
      <c r="H64" s="5">
        <f t="shared" si="21"/>
        <v>3.074</v>
      </c>
      <c r="I64" s="5">
        <f t="shared" si="22"/>
        <v>3.074</v>
      </c>
      <c r="J64" s="78">
        <f t="shared" si="23"/>
        <v>71.849</v>
      </c>
      <c r="K64" s="81">
        <f t="shared" si="31"/>
        <v>2721.2467499999993</v>
      </c>
      <c r="P64">
        <v>1</v>
      </c>
    </row>
    <row r="65" spans="1:16" ht="14.25">
      <c r="A65" s="32">
        <v>873</v>
      </c>
      <c r="B65" s="96">
        <f t="shared" si="28"/>
        <v>13</v>
      </c>
      <c r="C65" s="30">
        <v>3.5937</v>
      </c>
      <c r="D65" s="30">
        <f>0.0774+0.0873</f>
        <v>0.1647</v>
      </c>
      <c r="E65" s="21">
        <f t="shared" si="29"/>
        <v>3.6848</v>
      </c>
      <c r="F65" s="22">
        <f t="shared" si="30"/>
        <v>0.1532</v>
      </c>
      <c r="G65" s="21">
        <f t="shared" si="20"/>
        <v>47.9024</v>
      </c>
      <c r="H65" s="5">
        <f t="shared" si="21"/>
        <v>1.9916</v>
      </c>
      <c r="I65" s="5">
        <f t="shared" si="22"/>
        <v>1.9916</v>
      </c>
      <c r="J65" s="78">
        <f t="shared" si="23"/>
        <v>45.9108</v>
      </c>
      <c r="K65" s="81">
        <f t="shared" si="31"/>
        <v>2767.1575499999994</v>
      </c>
      <c r="P65">
        <v>1</v>
      </c>
    </row>
    <row r="66" spans="1:16" ht="14.25">
      <c r="A66" s="32">
        <v>880</v>
      </c>
      <c r="B66" s="96">
        <f t="shared" si="28"/>
        <v>7</v>
      </c>
      <c r="C66" s="30">
        <v>3.5061</v>
      </c>
      <c r="D66" s="30">
        <f>0.0807+0.0903</f>
        <v>0.17099999999999999</v>
      </c>
      <c r="E66" s="21">
        <f t="shared" si="29"/>
        <v>3.5499</v>
      </c>
      <c r="F66" s="22">
        <f t="shared" si="30"/>
        <v>0.16785</v>
      </c>
      <c r="G66" s="21">
        <f t="shared" si="20"/>
        <v>24.8493</v>
      </c>
      <c r="H66" s="5">
        <f t="shared" si="21"/>
        <v>1.17495</v>
      </c>
      <c r="I66" s="5">
        <f t="shared" si="22"/>
        <v>1.17495</v>
      </c>
      <c r="J66" s="78">
        <f t="shared" si="23"/>
        <v>23.67435</v>
      </c>
      <c r="K66" s="81">
        <f t="shared" si="31"/>
        <v>2790.831899999999</v>
      </c>
      <c r="P66">
        <v>1</v>
      </c>
    </row>
    <row r="67" spans="1:16" ht="14.25">
      <c r="A67" s="32">
        <v>896</v>
      </c>
      <c r="B67" s="96">
        <f t="shared" si="28"/>
        <v>16</v>
      </c>
      <c r="C67" s="30">
        <v>3.2013</v>
      </c>
      <c r="D67" s="30">
        <f>0.091+0.0972</f>
        <v>0.18819999999999998</v>
      </c>
      <c r="E67" s="21">
        <f t="shared" si="29"/>
        <v>3.3537</v>
      </c>
      <c r="F67" s="22">
        <f t="shared" si="30"/>
        <v>0.17959999999999998</v>
      </c>
      <c r="G67" s="21">
        <f t="shared" si="20"/>
        <v>53.6592</v>
      </c>
      <c r="H67" s="5">
        <f t="shared" si="21"/>
        <v>2.8735999999999997</v>
      </c>
      <c r="I67" s="5">
        <f t="shared" si="22"/>
        <v>2.8735999999999997</v>
      </c>
      <c r="J67" s="78">
        <f t="shared" si="23"/>
        <v>50.7856</v>
      </c>
      <c r="K67" s="81">
        <f t="shared" si="31"/>
        <v>2841.6174999999994</v>
      </c>
      <c r="P67">
        <v>1</v>
      </c>
    </row>
    <row r="68" spans="1:16" ht="14.25">
      <c r="A68" s="32">
        <v>900</v>
      </c>
      <c r="B68" s="96">
        <f t="shared" si="28"/>
        <v>4</v>
      </c>
      <c r="C68" s="30">
        <v>3.1</v>
      </c>
      <c r="D68" s="30">
        <f>0.0937+0.1046</f>
        <v>0.1983</v>
      </c>
      <c r="E68" s="21">
        <f t="shared" si="29"/>
        <v>3.1506499999999997</v>
      </c>
      <c r="F68" s="22">
        <f t="shared" si="30"/>
        <v>0.19324999999999998</v>
      </c>
      <c r="G68" s="21">
        <f t="shared" si="20"/>
        <v>12.602599999999999</v>
      </c>
      <c r="H68" s="5">
        <f t="shared" si="21"/>
        <v>0.7729999999999999</v>
      </c>
      <c r="I68" s="5">
        <f t="shared" si="22"/>
        <v>0.7729999999999999</v>
      </c>
      <c r="J68" s="78">
        <f t="shared" si="23"/>
        <v>11.8296</v>
      </c>
      <c r="K68" s="81">
        <f t="shared" si="31"/>
        <v>2853.4470999999994</v>
      </c>
      <c r="P68">
        <v>1</v>
      </c>
    </row>
    <row r="69" spans="1:16" ht="14.25">
      <c r="A69" s="32">
        <v>920</v>
      </c>
      <c r="B69" s="96">
        <f aca="true" t="shared" si="32" ref="B69:B76">SUM(A69-A68)</f>
        <v>20</v>
      </c>
      <c r="C69" s="30">
        <v>3.4833</v>
      </c>
      <c r="D69" s="30">
        <f>0.0711+0.0868</f>
        <v>0.15789999999999998</v>
      </c>
      <c r="E69" s="21">
        <f aca="true" t="shared" si="33" ref="E69:E76">SUM(C68:C69)/2</f>
        <v>3.2916499999999997</v>
      </c>
      <c r="F69" s="22">
        <f aca="true" t="shared" si="34" ref="F69:F76">(SUM(D68:D69))/2</f>
        <v>0.17809999999999998</v>
      </c>
      <c r="G69" s="21">
        <f t="shared" si="20"/>
        <v>65.833</v>
      </c>
      <c r="H69" s="5">
        <f t="shared" si="21"/>
        <v>3.5619999999999994</v>
      </c>
      <c r="I69" s="5">
        <f t="shared" si="22"/>
        <v>3.5619999999999994</v>
      </c>
      <c r="J69" s="78">
        <f t="shared" si="23"/>
        <v>62.271</v>
      </c>
      <c r="K69" s="81">
        <f aca="true" t="shared" si="35" ref="K69:K76">SUM(J69+K68)</f>
        <v>2915.7180999999996</v>
      </c>
      <c r="P69">
        <v>1</v>
      </c>
    </row>
    <row r="70" spans="1:16" ht="14.25">
      <c r="A70" s="32">
        <v>940</v>
      </c>
      <c r="B70" s="96">
        <f t="shared" si="32"/>
        <v>20</v>
      </c>
      <c r="C70" s="30">
        <v>2.8083</v>
      </c>
      <c r="D70" s="30">
        <f>0.0915+0.1957</f>
        <v>0.2872</v>
      </c>
      <c r="E70" s="21">
        <f t="shared" si="33"/>
        <v>3.1458</v>
      </c>
      <c r="F70" s="22">
        <f t="shared" si="34"/>
        <v>0.22255</v>
      </c>
      <c r="G70" s="21">
        <f t="shared" si="20"/>
        <v>62.916</v>
      </c>
      <c r="H70" s="5">
        <f t="shared" si="21"/>
        <v>4.451</v>
      </c>
      <c r="I70" s="5">
        <f t="shared" si="22"/>
        <v>4.451</v>
      </c>
      <c r="J70" s="78">
        <f t="shared" si="23"/>
        <v>58.464999999999996</v>
      </c>
      <c r="K70" s="81">
        <f t="shared" si="35"/>
        <v>2974.1830999999997</v>
      </c>
      <c r="P70">
        <v>1</v>
      </c>
    </row>
    <row r="71" spans="1:16" ht="14.25">
      <c r="A71" s="32">
        <v>960</v>
      </c>
      <c r="B71" s="96">
        <f t="shared" si="32"/>
        <v>20</v>
      </c>
      <c r="C71" s="30">
        <v>2.3266</v>
      </c>
      <c r="D71" s="30">
        <f>0.1233+0.1991</f>
        <v>0.3224</v>
      </c>
      <c r="E71" s="21">
        <f t="shared" si="33"/>
        <v>2.56745</v>
      </c>
      <c r="F71" s="22">
        <f t="shared" si="34"/>
        <v>0.3048</v>
      </c>
      <c r="G71" s="21">
        <f t="shared" si="20"/>
        <v>51.349000000000004</v>
      </c>
      <c r="H71" s="5">
        <f t="shared" si="21"/>
        <v>6.096</v>
      </c>
      <c r="I71" s="5">
        <f t="shared" si="22"/>
        <v>6.096</v>
      </c>
      <c r="J71" s="78">
        <f t="shared" si="23"/>
        <v>45.253</v>
      </c>
      <c r="K71" s="81">
        <f t="shared" si="35"/>
        <v>3019.4361</v>
      </c>
      <c r="P71">
        <v>1</v>
      </c>
    </row>
    <row r="72" spans="1:16" ht="14.25">
      <c r="A72" s="32">
        <v>980</v>
      </c>
      <c r="B72" s="96">
        <f t="shared" si="32"/>
        <v>20</v>
      </c>
      <c r="C72" s="30">
        <v>1.8209</v>
      </c>
      <c r="D72" s="30">
        <f>0.1669+0.379</f>
        <v>0.5459</v>
      </c>
      <c r="E72" s="21">
        <f t="shared" si="33"/>
        <v>2.07375</v>
      </c>
      <c r="F72" s="22">
        <f t="shared" si="34"/>
        <v>0.43415000000000004</v>
      </c>
      <c r="G72" s="21">
        <f>SUM(E72*B72)</f>
        <v>41.475</v>
      </c>
      <c r="H72" s="5">
        <f>SUM(F72*B72)</f>
        <v>8.683</v>
      </c>
      <c r="I72" s="5">
        <f>IF(P72=1,H72,G72)</f>
        <v>8.683</v>
      </c>
      <c r="J72" s="78">
        <f>G72-H72</f>
        <v>32.792</v>
      </c>
      <c r="K72" s="81">
        <f t="shared" si="35"/>
        <v>3052.2281</v>
      </c>
      <c r="P72">
        <v>1</v>
      </c>
    </row>
    <row r="73" spans="1:16" ht="14.25">
      <c r="A73" s="32">
        <v>1000</v>
      </c>
      <c r="B73" s="96">
        <f t="shared" si="32"/>
        <v>20</v>
      </c>
      <c r="C73" s="30">
        <v>1.8783</v>
      </c>
      <c r="D73" s="30">
        <f>0.1935+0.4381</f>
        <v>0.6315999999999999</v>
      </c>
      <c r="E73" s="21">
        <f t="shared" si="33"/>
        <v>1.8496000000000001</v>
      </c>
      <c r="F73" s="22">
        <f t="shared" si="34"/>
        <v>0.58875</v>
      </c>
      <c r="G73" s="21">
        <f>SUM(E73*B73)</f>
        <v>36.992000000000004</v>
      </c>
      <c r="H73" s="5">
        <f>SUM(F73*B73)</f>
        <v>11.775</v>
      </c>
      <c r="I73" s="5">
        <f>IF(P73=1,H73,G73)</f>
        <v>11.775</v>
      </c>
      <c r="J73" s="78">
        <f>G73-H73</f>
        <v>25.217000000000006</v>
      </c>
      <c r="K73" s="81">
        <f t="shared" si="35"/>
        <v>3077.4451</v>
      </c>
      <c r="P73">
        <v>1</v>
      </c>
    </row>
    <row r="74" spans="1:16" ht="14.25">
      <c r="A74" s="32">
        <v>1020</v>
      </c>
      <c r="B74" s="96">
        <f t="shared" si="32"/>
        <v>20</v>
      </c>
      <c r="C74" s="30">
        <v>1.797</v>
      </c>
      <c r="D74" s="30">
        <f>0.1947+0.3185</f>
        <v>0.5132</v>
      </c>
      <c r="E74" s="21">
        <f t="shared" si="33"/>
        <v>1.83765</v>
      </c>
      <c r="F74" s="22">
        <f t="shared" si="34"/>
        <v>0.5724</v>
      </c>
      <c r="G74" s="21">
        <f>SUM(E74*B74)</f>
        <v>36.753</v>
      </c>
      <c r="H74" s="5">
        <f>SUM(F74*B74)</f>
        <v>11.448</v>
      </c>
      <c r="I74" s="5">
        <f>IF(P74=1,H74,G74)</f>
        <v>11.448</v>
      </c>
      <c r="J74" s="78">
        <f>G74-H74</f>
        <v>25.305</v>
      </c>
      <c r="K74" s="81">
        <f t="shared" si="35"/>
        <v>3102.7500999999997</v>
      </c>
      <c r="P74">
        <v>1</v>
      </c>
    </row>
    <row r="75" spans="1:16" ht="14.25">
      <c r="A75" s="32">
        <v>1040</v>
      </c>
      <c r="B75" s="96">
        <f t="shared" si="32"/>
        <v>20</v>
      </c>
      <c r="C75" s="30">
        <v>2.5143</v>
      </c>
      <c r="D75" s="30">
        <f>0.1309+0.169</f>
        <v>0.2999</v>
      </c>
      <c r="E75" s="21">
        <f t="shared" si="33"/>
        <v>2.15565</v>
      </c>
      <c r="F75" s="22">
        <f t="shared" si="34"/>
        <v>0.40654999999999997</v>
      </c>
      <c r="G75" s="21">
        <f>SUM(E75*B75)</f>
        <v>43.113</v>
      </c>
      <c r="H75" s="5">
        <f>SUM(F75*B75)</f>
        <v>8.131</v>
      </c>
      <c r="I75" s="5">
        <f>IF(P75=1,H75,G75)</f>
        <v>8.131</v>
      </c>
      <c r="J75" s="78">
        <f>G75-H75</f>
        <v>34.982</v>
      </c>
      <c r="K75" s="81">
        <f t="shared" si="35"/>
        <v>3137.7320999999997</v>
      </c>
      <c r="P75">
        <v>1</v>
      </c>
    </row>
    <row r="76" spans="1:16" ht="14.25">
      <c r="A76" s="32">
        <v>1060</v>
      </c>
      <c r="B76" s="96">
        <f t="shared" si="32"/>
        <v>20</v>
      </c>
      <c r="C76" s="30">
        <v>2.6809</v>
      </c>
      <c r="D76" s="30">
        <f>0.1195+0.1301</f>
        <v>0.2496</v>
      </c>
      <c r="E76" s="21">
        <f t="shared" si="33"/>
        <v>2.5976</v>
      </c>
      <c r="F76" s="22">
        <f t="shared" si="34"/>
        <v>0.27475</v>
      </c>
      <c r="G76" s="21">
        <f>SUM(E76*B76)</f>
        <v>51.952</v>
      </c>
      <c r="H76" s="5">
        <f>SUM(F76*B76)</f>
        <v>5.495</v>
      </c>
      <c r="I76" s="5">
        <f>IF(P76=1,H76,G76)</f>
        <v>5.495</v>
      </c>
      <c r="J76" s="78">
        <f>G76-H76</f>
        <v>46.457</v>
      </c>
      <c r="K76" s="81">
        <f t="shared" si="35"/>
        <v>3184.1890999999996</v>
      </c>
      <c r="P76">
        <v>1</v>
      </c>
    </row>
    <row r="77" spans="1:16" ht="14.25">
      <c r="A77" s="32">
        <v>1080</v>
      </c>
      <c r="B77" s="96">
        <f aca="true" t="shared" si="36" ref="B77:B83">SUM(A77-A76)</f>
        <v>20</v>
      </c>
      <c r="C77" s="30">
        <v>2.4978</v>
      </c>
      <c r="D77" s="30">
        <f>0.126+0.1979</f>
        <v>0.32389999999999997</v>
      </c>
      <c r="E77" s="21">
        <f aca="true" t="shared" si="37" ref="E77:E83">SUM(C76:C77)/2</f>
        <v>2.5893499999999996</v>
      </c>
      <c r="F77" s="22">
        <f aca="true" t="shared" si="38" ref="F77:F83">(SUM(D76:D77))/2</f>
        <v>0.28674999999999995</v>
      </c>
      <c r="G77" s="21">
        <f aca="true" t="shared" si="39" ref="G77:G83">SUM(E77*B77)</f>
        <v>51.78699999999999</v>
      </c>
      <c r="H77" s="5">
        <f aca="true" t="shared" si="40" ref="H77:H83">SUM(F77*B77)</f>
        <v>5.734999999999999</v>
      </c>
      <c r="I77" s="5">
        <f aca="true" t="shared" si="41" ref="I77:I83">IF(P77=1,H77,G77)</f>
        <v>5.734999999999999</v>
      </c>
      <c r="J77" s="78">
        <f aca="true" t="shared" si="42" ref="J77:J83">G77-H77</f>
        <v>46.05199999999999</v>
      </c>
      <c r="K77" s="81">
        <f aca="true" t="shared" si="43" ref="K77:K83">SUM(J77+K76)</f>
        <v>3230.2410999999997</v>
      </c>
      <c r="P77">
        <v>1</v>
      </c>
    </row>
    <row r="78" spans="1:16" ht="14.25">
      <c r="A78" s="32">
        <v>1100</v>
      </c>
      <c r="B78" s="96">
        <f t="shared" si="36"/>
        <v>20</v>
      </c>
      <c r="C78" s="30">
        <v>2.8307</v>
      </c>
      <c r="D78" s="30">
        <f>0.141+0.1412</f>
        <v>0.2822</v>
      </c>
      <c r="E78" s="21">
        <f t="shared" si="37"/>
        <v>2.66425</v>
      </c>
      <c r="F78" s="22">
        <f t="shared" si="38"/>
        <v>0.30305</v>
      </c>
      <c r="G78" s="21">
        <f t="shared" si="39"/>
        <v>53.285</v>
      </c>
      <c r="H78" s="5">
        <f t="shared" si="40"/>
        <v>6.061</v>
      </c>
      <c r="I78" s="5">
        <f t="shared" si="41"/>
        <v>6.061</v>
      </c>
      <c r="J78" s="78">
        <f t="shared" si="42"/>
        <v>47.224</v>
      </c>
      <c r="K78" s="81">
        <f t="shared" si="43"/>
        <v>3277.4651</v>
      </c>
      <c r="P78">
        <v>1</v>
      </c>
    </row>
    <row r="79" spans="1:16" ht="14.25">
      <c r="A79" s="32">
        <v>1107</v>
      </c>
      <c r="B79" s="96">
        <f t="shared" si="36"/>
        <v>7</v>
      </c>
      <c r="C79" s="30">
        <v>3.3771</v>
      </c>
      <c r="D79" s="30">
        <f>0.1143+0.0841</f>
        <v>0.1984</v>
      </c>
      <c r="E79" s="21">
        <f t="shared" si="37"/>
        <v>3.1039000000000003</v>
      </c>
      <c r="F79" s="22">
        <f t="shared" si="38"/>
        <v>0.2403</v>
      </c>
      <c r="G79" s="21">
        <f t="shared" si="39"/>
        <v>21.727300000000003</v>
      </c>
      <c r="H79" s="5">
        <f t="shared" si="40"/>
        <v>1.6821000000000002</v>
      </c>
      <c r="I79" s="5">
        <f t="shared" si="41"/>
        <v>1.6821000000000002</v>
      </c>
      <c r="J79" s="78">
        <f t="shared" si="42"/>
        <v>20.0452</v>
      </c>
      <c r="K79" s="81">
        <f t="shared" si="43"/>
        <v>3297.5103</v>
      </c>
      <c r="P79">
        <v>1</v>
      </c>
    </row>
    <row r="80" spans="1:16" ht="14.25">
      <c r="A80" s="32">
        <v>1120</v>
      </c>
      <c r="B80" s="96">
        <f t="shared" si="36"/>
        <v>13</v>
      </c>
      <c r="C80" s="30">
        <v>4.1879</v>
      </c>
      <c r="D80" s="30">
        <f>0.0822+0.0693</f>
        <v>0.1515</v>
      </c>
      <c r="E80" s="21">
        <f t="shared" si="37"/>
        <v>3.7824999999999998</v>
      </c>
      <c r="F80" s="22">
        <f t="shared" si="38"/>
        <v>0.17495</v>
      </c>
      <c r="G80" s="21">
        <f t="shared" si="39"/>
        <v>49.1725</v>
      </c>
      <c r="H80" s="5">
        <f t="shared" si="40"/>
        <v>2.27435</v>
      </c>
      <c r="I80" s="5">
        <f t="shared" si="41"/>
        <v>2.27435</v>
      </c>
      <c r="J80" s="78">
        <f t="shared" si="42"/>
        <v>46.89815</v>
      </c>
      <c r="K80" s="81">
        <f t="shared" si="43"/>
        <v>3344.40845</v>
      </c>
      <c r="P80">
        <v>1</v>
      </c>
    </row>
    <row r="81" spans="1:16" ht="14.25">
      <c r="A81" s="32">
        <v>1140</v>
      </c>
      <c r="B81" s="96">
        <f t="shared" si="36"/>
        <v>20</v>
      </c>
      <c r="C81" s="30">
        <v>4.1348</v>
      </c>
      <c r="D81" s="30">
        <f>0.0928+0.0708</f>
        <v>0.1636</v>
      </c>
      <c r="E81" s="21">
        <f t="shared" si="37"/>
        <v>4.1613500000000005</v>
      </c>
      <c r="F81" s="22">
        <f t="shared" si="38"/>
        <v>0.15755</v>
      </c>
      <c r="G81" s="21">
        <f t="shared" si="39"/>
        <v>83.227</v>
      </c>
      <c r="H81" s="5">
        <f t="shared" si="40"/>
        <v>3.151</v>
      </c>
      <c r="I81" s="5">
        <f t="shared" si="41"/>
        <v>3.151</v>
      </c>
      <c r="J81" s="78">
        <f t="shared" si="42"/>
        <v>80.07600000000001</v>
      </c>
      <c r="K81" s="81">
        <f t="shared" si="43"/>
        <v>3424.48445</v>
      </c>
      <c r="P81">
        <v>1</v>
      </c>
    </row>
    <row r="82" spans="1:16" ht="14.25">
      <c r="A82" s="32">
        <v>1142</v>
      </c>
      <c r="B82" s="96">
        <f t="shared" si="36"/>
        <v>2</v>
      </c>
      <c r="C82" s="30">
        <v>4.0576</v>
      </c>
      <c r="D82" s="30">
        <f>0.0984+0.0721</f>
        <v>0.17049999999999998</v>
      </c>
      <c r="E82" s="21">
        <f t="shared" si="37"/>
        <v>4.0962</v>
      </c>
      <c r="F82" s="22">
        <f t="shared" si="38"/>
        <v>0.16704999999999998</v>
      </c>
      <c r="G82" s="21">
        <f t="shared" si="39"/>
        <v>8.1924</v>
      </c>
      <c r="H82" s="5">
        <f t="shared" si="40"/>
        <v>0.33409999999999995</v>
      </c>
      <c r="I82" s="5">
        <f t="shared" si="41"/>
        <v>0.33409999999999995</v>
      </c>
      <c r="J82" s="78">
        <f t="shared" si="42"/>
        <v>7.858299999999999</v>
      </c>
      <c r="K82" s="81">
        <f t="shared" si="43"/>
        <v>3432.34275</v>
      </c>
      <c r="P82">
        <v>1</v>
      </c>
    </row>
    <row r="83" spans="1:16" ht="15" thickBot="1">
      <c r="A83" s="39">
        <v>1150</v>
      </c>
      <c r="B83" s="97">
        <f t="shared" si="36"/>
        <v>8</v>
      </c>
      <c r="C83" s="84">
        <v>5.2002</v>
      </c>
      <c r="D83" s="84">
        <f>0.1171+0.0685</f>
        <v>0.1856</v>
      </c>
      <c r="E83" s="85">
        <f t="shared" si="37"/>
        <v>4.6289</v>
      </c>
      <c r="F83" s="86">
        <f t="shared" si="38"/>
        <v>0.17804999999999999</v>
      </c>
      <c r="G83" s="85">
        <f t="shared" si="39"/>
        <v>37.0312</v>
      </c>
      <c r="H83" s="85">
        <f t="shared" si="40"/>
        <v>1.4243999999999999</v>
      </c>
      <c r="I83" s="85">
        <f t="shared" si="41"/>
        <v>1.4243999999999999</v>
      </c>
      <c r="J83" s="87">
        <f t="shared" si="42"/>
        <v>35.6068</v>
      </c>
      <c r="K83" s="83">
        <f t="shared" si="43"/>
        <v>3467.94955</v>
      </c>
      <c r="P83">
        <v>1</v>
      </c>
    </row>
    <row r="84" spans="1:11" ht="15" thickBot="1">
      <c r="A84" s="101"/>
      <c r="B84" s="89"/>
      <c r="C84" s="88"/>
      <c r="D84" s="88"/>
      <c r="E84" s="88"/>
      <c r="F84" s="90"/>
      <c r="G84" s="92">
        <f>SUM(G9:G83)</f>
        <v>3889.1444</v>
      </c>
      <c r="H84" s="93">
        <f>SUM(H9:H83)</f>
        <v>421.19485000000014</v>
      </c>
      <c r="I84" s="93">
        <f>SUM(I9:I83)</f>
        <v>372.3788500000001</v>
      </c>
      <c r="J84" s="94">
        <f>SUM(J9:J83)</f>
        <v>3467.94955</v>
      </c>
      <c r="K84" s="91"/>
    </row>
    <row r="86" spans="1:13" ht="13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1"/>
      <c r="M86" s="11"/>
    </row>
    <row r="87" spans="1:13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1"/>
      <c r="M87" s="11"/>
    </row>
    <row r="88" spans="1:13" ht="14.25">
      <c r="A88" s="12"/>
      <c r="B88" s="13"/>
      <c r="C88" s="12"/>
      <c r="D88" s="12"/>
      <c r="E88" s="12"/>
      <c r="F88" s="12"/>
      <c r="G88" s="14"/>
      <c r="H88" s="14"/>
      <c r="I88" s="14"/>
      <c r="J88" s="14"/>
      <c r="K88" s="14"/>
      <c r="L88" s="11"/>
      <c r="M88" s="11"/>
    </row>
    <row r="89" spans="1:13" ht="14.25">
      <c r="A89" s="13"/>
      <c r="B89" s="13"/>
      <c r="C89" s="13"/>
      <c r="D89" s="13"/>
      <c r="E89" s="13"/>
      <c r="F89" s="13"/>
      <c r="G89" s="15"/>
      <c r="H89" s="15"/>
      <c r="I89" s="14"/>
      <c r="J89" s="14"/>
      <c r="K89" s="14"/>
      <c r="L89" s="11"/>
      <c r="M89" s="11"/>
    </row>
    <row r="90" spans="1:13" ht="14.25">
      <c r="A90" s="13"/>
      <c r="B90" s="12"/>
      <c r="C90" s="12"/>
      <c r="D90" s="12"/>
      <c r="E90" s="12"/>
      <c r="F90" s="12"/>
      <c r="G90" s="14"/>
      <c r="H90" s="14"/>
      <c r="I90" s="14"/>
      <c r="J90" s="15"/>
      <c r="K90" s="14"/>
      <c r="L90" s="11"/>
      <c r="M90" s="11"/>
    </row>
    <row r="91" spans="1:13" ht="14.25">
      <c r="A91" s="13"/>
      <c r="B91" s="12"/>
      <c r="C91" s="12"/>
      <c r="D91" s="12"/>
      <c r="E91" s="12"/>
      <c r="F91" s="12"/>
      <c r="G91" s="14"/>
      <c r="H91" s="14"/>
      <c r="I91" s="14"/>
      <c r="J91" s="14"/>
      <c r="K91" s="14"/>
      <c r="L91" s="11"/>
      <c r="M91" s="11"/>
    </row>
    <row r="92" spans="1:13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1"/>
      <c r="M92" s="11"/>
    </row>
    <row r="93" spans="1:13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1"/>
      <c r="M93" s="11"/>
    </row>
    <row r="94" spans="1:13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1"/>
      <c r="M94" s="11"/>
    </row>
    <row r="95" spans="1:13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1"/>
      <c r="M95" s="11"/>
    </row>
    <row r="96" spans="1:13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1"/>
      <c r="M96" s="11"/>
    </row>
    <row r="97" spans="1:13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1"/>
      <c r="M97" s="11"/>
    </row>
    <row r="98" spans="1:13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1"/>
      <c r="M98" s="11"/>
    </row>
    <row r="99" spans="1:13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1"/>
      <c r="M99" s="11"/>
    </row>
    <row r="100" spans="1:13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1"/>
      <c r="M100" s="11"/>
    </row>
    <row r="101" spans="1:13" ht="13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1"/>
      <c r="M101" s="11"/>
    </row>
    <row r="102" spans="1:13" ht="15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1"/>
      <c r="M102" s="11"/>
    </row>
    <row r="103" spans="1:13" ht="14.25">
      <c r="A103" s="12"/>
      <c r="B103" s="13"/>
      <c r="C103" s="12"/>
      <c r="D103" s="12"/>
      <c r="E103" s="12"/>
      <c r="F103" s="12"/>
      <c r="G103" s="14"/>
      <c r="H103" s="14"/>
      <c r="I103" s="14"/>
      <c r="J103" s="14"/>
      <c r="K103" s="14"/>
      <c r="L103" s="11"/>
      <c r="M103" s="11"/>
    </row>
    <row r="104" spans="1:13" ht="14.25">
      <c r="A104" s="13"/>
      <c r="B104" s="13"/>
      <c r="C104" s="13"/>
      <c r="D104" s="13"/>
      <c r="E104" s="13"/>
      <c r="F104" s="13"/>
      <c r="G104" s="15"/>
      <c r="H104" s="15"/>
      <c r="I104" s="14"/>
      <c r="J104" s="14"/>
      <c r="K104" s="14"/>
      <c r="L104" s="11"/>
      <c r="M104" s="11"/>
    </row>
    <row r="105" spans="1:13" ht="14.25">
      <c r="A105" s="13"/>
      <c r="B105" s="12"/>
      <c r="C105" s="12"/>
      <c r="D105" s="12"/>
      <c r="E105" s="12"/>
      <c r="F105" s="12"/>
      <c r="G105" s="14"/>
      <c r="H105" s="14"/>
      <c r="I105" s="14"/>
      <c r="J105" s="15"/>
      <c r="K105" s="14"/>
      <c r="L105" s="11"/>
      <c r="M105" s="11"/>
    </row>
    <row r="106" spans="1:13" ht="14.25">
      <c r="A106" s="13"/>
      <c r="B106" s="12"/>
      <c r="C106" s="12"/>
      <c r="D106" s="12"/>
      <c r="E106" s="12"/>
      <c r="F106" s="12"/>
      <c r="G106" s="14"/>
      <c r="H106" s="14"/>
      <c r="I106" s="14"/>
      <c r="J106" s="14"/>
      <c r="K106" s="14"/>
      <c r="L106" s="11"/>
      <c r="M106" s="11"/>
    </row>
    <row r="107" spans="1:13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1"/>
    </row>
    <row r="108" spans="1:13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1"/>
    </row>
    <row r="109" spans="1:13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1"/>
    </row>
    <row r="110" spans="1:13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1"/>
    </row>
    <row r="111" spans="1:13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1"/>
    </row>
    <row r="112" spans="1:13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1"/>
    </row>
    <row r="113" spans="1:13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1"/>
    </row>
    <row r="114" spans="1:13" ht="1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1"/>
    </row>
    <row r="115" spans="1:13" ht="15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1"/>
    </row>
    <row r="116" spans="1:13" ht="14.25">
      <c r="A116" s="12"/>
      <c r="B116" s="13"/>
      <c r="C116" s="12"/>
      <c r="D116" s="12"/>
      <c r="E116" s="12"/>
      <c r="F116" s="12"/>
      <c r="G116" s="14"/>
      <c r="H116" s="14"/>
      <c r="I116" s="14"/>
      <c r="J116" s="14"/>
      <c r="K116" s="14"/>
      <c r="L116" s="11"/>
      <c r="M116" s="11"/>
    </row>
    <row r="117" spans="1:13" ht="14.25">
      <c r="A117" s="13"/>
      <c r="B117" s="13"/>
      <c r="C117" s="13"/>
      <c r="D117" s="13"/>
      <c r="E117" s="13"/>
      <c r="F117" s="13"/>
      <c r="G117" s="15"/>
      <c r="H117" s="15"/>
      <c r="I117" s="14"/>
      <c r="J117" s="14"/>
      <c r="K117" s="14"/>
      <c r="L117" s="11"/>
      <c r="M117" s="11"/>
    </row>
    <row r="118" spans="1:13" ht="14.25">
      <c r="A118" s="13"/>
      <c r="B118" s="12"/>
      <c r="C118" s="12"/>
      <c r="D118" s="12"/>
      <c r="E118" s="12"/>
      <c r="F118" s="12"/>
      <c r="G118" s="14"/>
      <c r="H118" s="14"/>
      <c r="I118" s="14"/>
      <c r="J118" s="15"/>
      <c r="K118" s="14"/>
      <c r="L118" s="11"/>
      <c r="M118" s="11"/>
    </row>
    <row r="119" spans="1:13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11"/>
    </row>
    <row r="120" spans="1:13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11"/>
    </row>
    <row r="121" spans="1:13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11"/>
    </row>
    <row r="122" spans="1:13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11"/>
    </row>
    <row r="123" spans="1:13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1"/>
    </row>
    <row r="124" spans="1:13" ht="1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1"/>
    </row>
    <row r="125" spans="1:13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1"/>
    </row>
    <row r="126" spans="1:13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11"/>
    </row>
    <row r="127" spans="1:13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11"/>
    </row>
    <row r="128" spans="1:13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11"/>
    </row>
    <row r="129" spans="1:13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1"/>
    </row>
    <row r="130" spans="1:13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1"/>
    </row>
    <row r="131" spans="1:13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11"/>
    </row>
    <row r="132" spans="1:13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11"/>
    </row>
    <row r="133" spans="1:13" ht="13.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1"/>
    </row>
    <row r="134" spans="1:13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11"/>
    </row>
    <row r="135" spans="1:13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11"/>
    </row>
    <row r="136" spans="1:13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11"/>
    </row>
    <row r="137" spans="1:13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1"/>
    </row>
    <row r="138" spans="1:13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1"/>
    </row>
    <row r="139" spans="1:13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1"/>
    </row>
    <row r="140" spans="1:13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11"/>
    </row>
    <row r="141" spans="1:13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1"/>
    </row>
    <row r="142" spans="1:13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11"/>
    </row>
    <row r="143" spans="1:13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11"/>
    </row>
    <row r="144" spans="1:13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11"/>
    </row>
    <row r="145" spans="1:13" ht="1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11"/>
    </row>
    <row r="146" spans="1:13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11"/>
    </row>
    <row r="147" spans="1:13" ht="13.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11"/>
    </row>
    <row r="148" spans="1:13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11"/>
    </row>
    <row r="149" spans="1:13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11"/>
    </row>
    <row r="150" spans="1:13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11"/>
    </row>
    <row r="151" spans="1:13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11"/>
    </row>
    <row r="152" spans="1:13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11"/>
    </row>
    <row r="153" spans="1:13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11"/>
    </row>
    <row r="154" spans="1:13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11"/>
    </row>
    <row r="155" spans="1:13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11"/>
    </row>
    <row r="156" spans="1:13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11"/>
    </row>
    <row r="157" spans="1:13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11"/>
    </row>
    <row r="158" spans="1:13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11"/>
    </row>
    <row r="159" spans="1:13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11"/>
    </row>
    <row r="160" spans="1:13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11"/>
    </row>
    <row r="161" spans="1:13" ht="13.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11"/>
    </row>
    <row r="162" spans="1:13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11"/>
    </row>
    <row r="163" spans="1:13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11"/>
    </row>
    <row r="164" spans="1:13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11"/>
    </row>
    <row r="165" spans="1:13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11"/>
    </row>
    <row r="166" spans="1:13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11"/>
    </row>
    <row r="167" spans="1:13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11"/>
    </row>
    <row r="168" spans="1:13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11"/>
    </row>
    <row r="169" spans="1:13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11"/>
    </row>
    <row r="170" spans="1:13" ht="14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11"/>
    </row>
    <row r="171" spans="1:13" ht="14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11"/>
    </row>
    <row r="172" spans="1:13" ht="14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11"/>
    </row>
    <row r="173" spans="1:13" ht="14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11"/>
    </row>
    <row r="174" spans="1:13" ht="14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11"/>
    </row>
    <row r="175" spans="1:13" ht="14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11"/>
    </row>
    <row r="176" spans="1:13" ht="14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11"/>
    </row>
    <row r="177" spans="1:13" ht="14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11"/>
    </row>
    <row r="178" spans="1:13" ht="14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11"/>
    </row>
    <row r="179" spans="1:13" ht="14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11"/>
    </row>
    <row r="180" spans="1:13" ht="14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11"/>
    </row>
    <row r="181" spans="1:13" ht="14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11"/>
    </row>
    <row r="182" spans="1:13" ht="14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11"/>
    </row>
    <row r="183" spans="1:13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11"/>
    </row>
    <row r="184" spans="1:13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11"/>
    </row>
    <row r="185" spans="1:13" ht="14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</sheetData>
  <sheetProtection/>
  <mergeCells count="2">
    <mergeCell ref="A2:K2"/>
    <mergeCell ref="A3:K3"/>
  </mergeCells>
  <printOptions/>
  <pageMargins left="1.18125" right="0.5902777777777778" top="0.5513888888888889" bottom="0.5513888888888889" header="0.31527777777777777" footer="0.31527777777777777"/>
  <pageSetup horizontalDpi="600" verticalDpi="600" orientation="portrait" paperSize="9" scale="89" r:id="rId1"/>
  <headerFooter differentFirst="1" alignWithMargins="0">
    <oddHeader xml:space="preserve">&amp;L&amp;8Mott Macdonald Limited Sp. z o.o.&amp;R&amp;8Tabela robót
   </oddHeader>
    <oddFooter xml:space="preserve">&amp;L&amp;8Grudzień 2008&amp;C2&amp;R&amp;8Gmina Cedry Wielkie </oddFooter>
    <firstHeader>&amp;L&amp;8Mott Macdonald Limited Sp. z o.o.&amp;R&amp;8Tabela rob?t</firstHeader>
    <firstFooter>&amp;L&amp;8Grudzień 2008&amp;C1&amp;R&amp;8Gmina Cedry Wielkie</firstFooter>
  </headerFooter>
  <rowBreaks count="2" manualBreakCount="2">
    <brk id="100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Layout" zoomScaleSheetLayoutView="100" workbookViewId="0" topLeftCell="A43">
      <selection activeCell="A1" sqref="A1:H82"/>
    </sheetView>
  </sheetViews>
  <sheetFormatPr defaultColWidth="8.796875" defaultRowHeight="14.25"/>
  <cols>
    <col min="1" max="1" width="8.3984375" style="0" customWidth="1"/>
    <col min="2" max="2" width="9.5" style="0" customWidth="1"/>
    <col min="3" max="3" width="8" style="0" customWidth="1"/>
    <col min="4" max="4" width="9.3984375" style="0" customWidth="1"/>
    <col min="5" max="5" width="10.5" style="0" customWidth="1"/>
    <col min="6" max="6" width="10.59765625" style="0" customWidth="1"/>
    <col min="7" max="8" width="10.19921875" style="0" customWidth="1"/>
  </cols>
  <sheetData>
    <row r="1" ht="14.25">
      <c r="A1" s="7" t="s">
        <v>38</v>
      </c>
    </row>
    <row r="2" spans="1:8" ht="15" thickBot="1">
      <c r="A2" s="117" t="s">
        <v>28</v>
      </c>
      <c r="B2" s="117"/>
      <c r="C2" s="117"/>
      <c r="D2" s="117"/>
      <c r="E2" s="117"/>
      <c r="F2" s="117"/>
      <c r="G2" s="117"/>
      <c r="H2" s="23"/>
    </row>
    <row r="3" spans="1:9" ht="15.75" thickBot="1">
      <c r="A3" s="114" t="s">
        <v>30</v>
      </c>
      <c r="B3" s="115"/>
      <c r="C3" s="115"/>
      <c r="D3" s="115"/>
      <c r="E3" s="115"/>
      <c r="F3" s="115"/>
      <c r="G3" s="115"/>
      <c r="H3" s="116"/>
      <c r="I3" s="8"/>
    </row>
    <row r="4" spans="1:9" ht="14.25">
      <c r="A4" s="118" t="s">
        <v>1</v>
      </c>
      <c r="B4" s="120" t="s">
        <v>22</v>
      </c>
      <c r="C4" s="110" t="s">
        <v>32</v>
      </c>
      <c r="D4" s="122" t="s">
        <v>29</v>
      </c>
      <c r="E4" s="110" t="s">
        <v>33</v>
      </c>
      <c r="F4" s="108" t="s">
        <v>31</v>
      </c>
      <c r="G4" s="124" t="s">
        <v>34</v>
      </c>
      <c r="H4" s="112" t="s">
        <v>35</v>
      </c>
      <c r="I4" s="8"/>
    </row>
    <row r="5" spans="1:9" ht="27.75" customHeight="1" thickBot="1">
      <c r="A5" s="119"/>
      <c r="B5" s="121"/>
      <c r="C5" s="111"/>
      <c r="D5" s="123"/>
      <c r="E5" s="111"/>
      <c r="F5" s="109"/>
      <c r="G5" s="125"/>
      <c r="H5" s="113"/>
      <c r="I5" s="8"/>
    </row>
    <row r="6" spans="1:9" ht="18">
      <c r="A6" s="49"/>
      <c r="B6" s="49" t="s">
        <v>19</v>
      </c>
      <c r="C6" s="50" t="s">
        <v>19</v>
      </c>
      <c r="D6" s="49" t="s">
        <v>36</v>
      </c>
      <c r="E6" s="50" t="s">
        <v>19</v>
      </c>
      <c r="F6" s="51" t="s">
        <v>37</v>
      </c>
      <c r="G6" s="52" t="s">
        <v>37</v>
      </c>
      <c r="H6" s="53" t="s">
        <v>37</v>
      </c>
      <c r="I6" s="8"/>
    </row>
    <row r="7" spans="1:9" ht="14.25">
      <c r="A7" s="32">
        <v>0</v>
      </c>
      <c r="B7" s="33">
        <v>0</v>
      </c>
      <c r="C7" s="33">
        <v>9.99</v>
      </c>
      <c r="D7" s="31">
        <f>(SUM(C6:C7)/2)*B7*0.1</f>
        <v>0</v>
      </c>
      <c r="E7" s="31">
        <f>0.48+0.7</f>
        <v>1.18</v>
      </c>
      <c r="F7" s="34">
        <f>(SUM(E6:E7)/2)*B7*0.1</f>
        <v>0</v>
      </c>
      <c r="G7" s="45">
        <f aca="true" t="shared" si="0" ref="G7:G70">SUM(D7,G6)</f>
        <v>0</v>
      </c>
      <c r="H7" s="47">
        <f>SUM(F7,H6)</f>
        <v>0</v>
      </c>
      <c r="I7" s="8"/>
    </row>
    <row r="8" spans="1:9" ht="14.25">
      <c r="A8" s="32">
        <v>20</v>
      </c>
      <c r="B8" s="33">
        <f aca="true" t="shared" si="1" ref="B8:B72">SUM(A8-A7)</f>
        <v>20</v>
      </c>
      <c r="C8" s="33">
        <f>2.08+1.53</f>
        <v>3.6100000000000003</v>
      </c>
      <c r="D8" s="31">
        <f>(SUM(C7:C8)/2)*B8*0.1</f>
        <v>13.600000000000001</v>
      </c>
      <c r="E8" s="31">
        <f>0.7+0.45</f>
        <v>1.15</v>
      </c>
      <c r="F8" s="34">
        <f>(SUM(E7:E8)/2)*B8*0.1</f>
        <v>2.33</v>
      </c>
      <c r="G8" s="45">
        <f t="shared" si="0"/>
        <v>13.600000000000001</v>
      </c>
      <c r="H8" s="47">
        <f>SUM(F8,H7)</f>
        <v>2.33</v>
      </c>
      <c r="I8" s="8"/>
    </row>
    <row r="9" spans="1:9" ht="14.25">
      <c r="A9" s="32">
        <v>40</v>
      </c>
      <c r="B9" s="33">
        <f t="shared" si="1"/>
        <v>20</v>
      </c>
      <c r="C9" s="33">
        <f>4.22+1.11</f>
        <v>5.33</v>
      </c>
      <c r="D9" s="31">
        <f>(SUM(C8:C9)/2)*B9*0.1</f>
        <v>8.940000000000001</v>
      </c>
      <c r="E9" s="31">
        <f>1.14+1.63+0.3</f>
        <v>3.0699999999999994</v>
      </c>
      <c r="F9" s="34">
        <f>(SUM(E8:E9)/2)*B9*0.1</f>
        <v>4.219999999999999</v>
      </c>
      <c r="G9" s="45">
        <f t="shared" si="0"/>
        <v>22.540000000000003</v>
      </c>
      <c r="H9" s="47">
        <f>SUM(F9,H8)</f>
        <v>6.549999999999999</v>
      </c>
      <c r="I9" s="8"/>
    </row>
    <row r="10" spans="1:9" ht="14.25">
      <c r="A10" s="32">
        <v>60</v>
      </c>
      <c r="B10" s="33">
        <f t="shared" si="1"/>
        <v>20</v>
      </c>
      <c r="C10" s="33">
        <v>5.71</v>
      </c>
      <c r="D10" s="31">
        <f aca="true" t="shared" si="2" ref="D10:D73">(SUM(C9:C10)/2)*B10*0.1</f>
        <v>11.04</v>
      </c>
      <c r="E10" s="31">
        <f>0.53+2.13+0.8</f>
        <v>3.46</v>
      </c>
      <c r="F10" s="34">
        <f aca="true" t="shared" si="3" ref="F10:F73">(SUM(E9:E10)/2)*B10*0.1</f>
        <v>6.53</v>
      </c>
      <c r="G10" s="45">
        <f t="shared" si="0"/>
        <v>33.58</v>
      </c>
      <c r="H10" s="47">
        <f aca="true" t="shared" si="4" ref="H10:H73">SUM(F10,H9)</f>
        <v>13.079999999999998</v>
      </c>
      <c r="I10" s="8"/>
    </row>
    <row r="11" spans="1:9" ht="14.25">
      <c r="A11" s="32">
        <v>80</v>
      </c>
      <c r="B11" s="33">
        <f t="shared" si="1"/>
        <v>20</v>
      </c>
      <c r="C11" s="33">
        <v>7.5</v>
      </c>
      <c r="D11" s="31">
        <f t="shared" si="2"/>
        <v>13.210000000000003</v>
      </c>
      <c r="E11" s="31">
        <f>0.4+2.63+0.39</f>
        <v>3.42</v>
      </c>
      <c r="F11" s="34">
        <f t="shared" si="3"/>
        <v>6.88</v>
      </c>
      <c r="G11" s="45">
        <f t="shared" si="0"/>
        <v>46.79</v>
      </c>
      <c r="H11" s="47">
        <f t="shared" si="4"/>
        <v>19.959999999999997</v>
      </c>
      <c r="I11" s="8"/>
    </row>
    <row r="12" spans="1:9" ht="14.25">
      <c r="A12" s="32">
        <v>100</v>
      </c>
      <c r="B12" s="33">
        <f t="shared" si="1"/>
        <v>20</v>
      </c>
      <c r="C12" s="33">
        <v>7.83</v>
      </c>
      <c r="D12" s="31">
        <f t="shared" si="2"/>
        <v>15.330000000000002</v>
      </c>
      <c r="E12" s="31">
        <f>0.67+3.1+0.31</f>
        <v>4.08</v>
      </c>
      <c r="F12" s="34">
        <f t="shared" si="3"/>
        <v>7.5</v>
      </c>
      <c r="G12" s="45">
        <f t="shared" si="0"/>
        <v>62.120000000000005</v>
      </c>
      <c r="H12" s="47">
        <f t="shared" si="4"/>
        <v>27.459999999999997</v>
      </c>
      <c r="I12" s="8"/>
    </row>
    <row r="13" spans="1:9" ht="14.25">
      <c r="A13" s="32">
        <v>120</v>
      </c>
      <c r="B13" s="33">
        <f t="shared" si="1"/>
        <v>20</v>
      </c>
      <c r="C13" s="33">
        <v>6.04</v>
      </c>
      <c r="D13" s="31">
        <f t="shared" si="2"/>
        <v>13.870000000000003</v>
      </c>
      <c r="E13" s="31">
        <f>0.57+2.93+0.22</f>
        <v>3.72</v>
      </c>
      <c r="F13" s="34">
        <f t="shared" si="3"/>
        <v>7.800000000000001</v>
      </c>
      <c r="G13" s="45">
        <f t="shared" si="0"/>
        <v>75.99000000000001</v>
      </c>
      <c r="H13" s="47">
        <f t="shared" si="4"/>
        <v>35.26</v>
      </c>
      <c r="I13" s="8"/>
    </row>
    <row r="14" spans="1:9" ht="14.25">
      <c r="A14" s="32">
        <v>140</v>
      </c>
      <c r="B14" s="33">
        <f t="shared" si="1"/>
        <v>20</v>
      </c>
      <c r="C14" s="33">
        <f>4.8+1.18</f>
        <v>5.9799999999999995</v>
      </c>
      <c r="D14" s="31">
        <f t="shared" si="2"/>
        <v>12.02</v>
      </c>
      <c r="E14" s="31">
        <f>1.16+2.38+0.21</f>
        <v>3.75</v>
      </c>
      <c r="F14" s="34">
        <f t="shared" si="3"/>
        <v>7.470000000000001</v>
      </c>
      <c r="G14" s="45">
        <f t="shared" si="0"/>
        <v>88.01</v>
      </c>
      <c r="H14" s="47">
        <f t="shared" si="4"/>
        <v>42.73</v>
      </c>
      <c r="I14" s="8"/>
    </row>
    <row r="15" spans="1:9" ht="14.25">
      <c r="A15" s="32">
        <v>160</v>
      </c>
      <c r="B15" s="33">
        <f t="shared" si="1"/>
        <v>20</v>
      </c>
      <c r="C15" s="33">
        <f>2.71+2.16</f>
        <v>4.87</v>
      </c>
      <c r="D15" s="31">
        <f t="shared" si="2"/>
        <v>10.850000000000001</v>
      </c>
      <c r="E15" s="31">
        <f>0.43+1.83+0.14</f>
        <v>2.4000000000000004</v>
      </c>
      <c r="F15" s="34">
        <f t="shared" si="3"/>
        <v>6.15</v>
      </c>
      <c r="G15" s="45">
        <f t="shared" si="0"/>
        <v>98.86000000000001</v>
      </c>
      <c r="H15" s="47">
        <f t="shared" si="4"/>
        <v>48.879999999999995</v>
      </c>
      <c r="I15" s="8"/>
    </row>
    <row r="16" spans="1:9" ht="14.25">
      <c r="A16" s="32">
        <v>180</v>
      </c>
      <c r="B16" s="33">
        <f t="shared" si="1"/>
        <v>20</v>
      </c>
      <c r="C16" s="33">
        <f>1.64+2.69</f>
        <v>4.33</v>
      </c>
      <c r="D16" s="31">
        <f t="shared" si="2"/>
        <v>9.200000000000001</v>
      </c>
      <c r="E16" s="31">
        <f>0.47+1.31+0.15</f>
        <v>1.93</v>
      </c>
      <c r="F16" s="34">
        <f t="shared" si="3"/>
        <v>4.33</v>
      </c>
      <c r="G16" s="45">
        <f t="shared" si="0"/>
        <v>108.06000000000002</v>
      </c>
      <c r="H16" s="47">
        <f t="shared" si="4"/>
        <v>53.209999999999994</v>
      </c>
      <c r="I16" s="8"/>
    </row>
    <row r="17" spans="1:9" ht="14.25">
      <c r="A17" s="32">
        <v>200</v>
      </c>
      <c r="B17" s="33">
        <f t="shared" si="1"/>
        <v>20</v>
      </c>
      <c r="C17" s="33">
        <f>1.06+4.11</f>
        <v>5.17</v>
      </c>
      <c r="D17" s="31">
        <f t="shared" si="2"/>
        <v>9.5</v>
      </c>
      <c r="E17" s="31">
        <f>0.85+0.99+0.73</f>
        <v>2.57</v>
      </c>
      <c r="F17" s="34">
        <f t="shared" si="3"/>
        <v>4.5</v>
      </c>
      <c r="G17" s="45">
        <f t="shared" si="0"/>
        <v>117.56000000000002</v>
      </c>
      <c r="H17" s="47">
        <f t="shared" si="4"/>
        <v>57.709999999999994</v>
      </c>
      <c r="I17" s="8"/>
    </row>
    <row r="18" spans="1:9" ht="14.25">
      <c r="A18" s="32">
        <v>219</v>
      </c>
      <c r="B18" s="33">
        <f t="shared" si="1"/>
        <v>19</v>
      </c>
      <c r="C18" s="33">
        <f>0.39+3.88</f>
        <v>4.27</v>
      </c>
      <c r="D18" s="31">
        <f t="shared" si="2"/>
        <v>8.968</v>
      </c>
      <c r="E18" s="31">
        <f>0.71+0.65+0.27</f>
        <v>1.63</v>
      </c>
      <c r="F18" s="34">
        <f t="shared" si="3"/>
        <v>3.9899999999999993</v>
      </c>
      <c r="G18" s="45">
        <f t="shared" si="0"/>
        <v>126.52800000000002</v>
      </c>
      <c r="H18" s="47">
        <f t="shared" si="4"/>
        <v>61.699999999999996</v>
      </c>
      <c r="I18" s="8"/>
    </row>
    <row r="19" spans="1:9" ht="14.25">
      <c r="A19" s="32">
        <v>220</v>
      </c>
      <c r="B19" s="33">
        <f t="shared" si="1"/>
        <v>1</v>
      </c>
      <c r="C19" s="33">
        <f>0.3+4.04</f>
        <v>4.34</v>
      </c>
      <c r="D19" s="31">
        <f t="shared" si="2"/>
        <v>0.4305</v>
      </c>
      <c r="E19" s="31">
        <f>0.71+0.68+0.29</f>
        <v>1.6800000000000002</v>
      </c>
      <c r="F19" s="34">
        <f t="shared" si="3"/>
        <v>0.1655</v>
      </c>
      <c r="G19" s="45">
        <f t="shared" si="0"/>
        <v>126.95850000000002</v>
      </c>
      <c r="H19" s="47">
        <f t="shared" si="4"/>
        <v>61.8655</v>
      </c>
      <c r="I19" s="8"/>
    </row>
    <row r="20" spans="1:9" ht="14.25">
      <c r="A20" s="32">
        <v>240</v>
      </c>
      <c r="B20" s="33">
        <f t="shared" si="1"/>
        <v>20</v>
      </c>
      <c r="C20" s="33">
        <f>0.06+3.85</f>
        <v>3.91</v>
      </c>
      <c r="D20" s="31">
        <f t="shared" si="2"/>
        <v>8.25</v>
      </c>
      <c r="E20" s="31">
        <f>0.66+0.68+0.08</f>
        <v>1.4200000000000002</v>
      </c>
      <c r="F20" s="34">
        <f t="shared" si="3"/>
        <v>3.100000000000001</v>
      </c>
      <c r="G20" s="45">
        <f t="shared" si="0"/>
        <v>135.20850000000002</v>
      </c>
      <c r="H20" s="47">
        <f t="shared" si="4"/>
        <v>64.96549999999999</v>
      </c>
      <c r="I20" s="8"/>
    </row>
    <row r="21" spans="1:9" ht="14.25">
      <c r="A21" s="32">
        <v>242</v>
      </c>
      <c r="B21" s="33">
        <f t="shared" si="1"/>
        <v>2</v>
      </c>
      <c r="C21" s="33">
        <f>0.3+3.82</f>
        <v>4.12</v>
      </c>
      <c r="D21" s="31">
        <f t="shared" si="2"/>
        <v>0.8030000000000002</v>
      </c>
      <c r="E21" s="31">
        <f>0.63+0.68+0.08</f>
        <v>1.3900000000000001</v>
      </c>
      <c r="F21" s="34">
        <f t="shared" si="3"/>
        <v>0.2810000000000001</v>
      </c>
      <c r="G21" s="45">
        <f t="shared" si="0"/>
        <v>136.0115</v>
      </c>
      <c r="H21" s="47">
        <f t="shared" si="4"/>
        <v>65.2465</v>
      </c>
      <c r="I21" s="8"/>
    </row>
    <row r="22" spans="1:9" ht="14.25">
      <c r="A22" s="32">
        <v>260</v>
      </c>
      <c r="B22" s="33">
        <f t="shared" si="1"/>
        <v>18</v>
      </c>
      <c r="C22" s="33">
        <f>0.38+2.98</f>
        <v>3.36</v>
      </c>
      <c r="D22" s="31">
        <f t="shared" si="2"/>
        <v>6.732000000000001</v>
      </c>
      <c r="E22" s="31">
        <f>0.7+0.53</f>
        <v>1.23</v>
      </c>
      <c r="F22" s="34">
        <f t="shared" si="3"/>
        <v>2.358</v>
      </c>
      <c r="G22" s="45">
        <f t="shared" si="0"/>
        <v>142.7435</v>
      </c>
      <c r="H22" s="47">
        <f t="shared" si="4"/>
        <v>67.6045</v>
      </c>
      <c r="I22" s="8"/>
    </row>
    <row r="23" spans="1:9" ht="14.25">
      <c r="A23" s="32">
        <v>280</v>
      </c>
      <c r="B23" s="33">
        <f t="shared" si="1"/>
        <v>20</v>
      </c>
      <c r="C23" s="33">
        <f>0.84+4.19</f>
        <v>5.03</v>
      </c>
      <c r="D23" s="31">
        <f t="shared" si="2"/>
        <v>8.39</v>
      </c>
      <c r="E23" s="31">
        <f>1.01+2.07</f>
        <v>3.08</v>
      </c>
      <c r="F23" s="34">
        <f t="shared" si="3"/>
        <v>4.310000000000001</v>
      </c>
      <c r="G23" s="45">
        <f t="shared" si="0"/>
        <v>151.13350000000003</v>
      </c>
      <c r="H23" s="47">
        <f t="shared" si="4"/>
        <v>71.9145</v>
      </c>
      <c r="I23" s="8"/>
    </row>
    <row r="24" spans="1:9" ht="14.25">
      <c r="A24" s="32">
        <v>300</v>
      </c>
      <c r="B24" s="33">
        <f t="shared" si="1"/>
        <v>20</v>
      </c>
      <c r="C24" s="33">
        <f>1.45+2.82</f>
        <v>4.27</v>
      </c>
      <c r="D24" s="31">
        <f t="shared" si="2"/>
        <v>9.3</v>
      </c>
      <c r="E24" s="31">
        <f>1.02+1.31</f>
        <v>2.33</v>
      </c>
      <c r="F24" s="34">
        <f t="shared" si="3"/>
        <v>5.41</v>
      </c>
      <c r="G24" s="45">
        <f t="shared" si="0"/>
        <v>160.43350000000004</v>
      </c>
      <c r="H24" s="47">
        <f t="shared" si="4"/>
        <v>77.3245</v>
      </c>
      <c r="I24" s="8"/>
    </row>
    <row r="25" spans="1:9" ht="14.25">
      <c r="A25" s="32">
        <v>303</v>
      </c>
      <c r="B25" s="33">
        <f t="shared" si="1"/>
        <v>3</v>
      </c>
      <c r="C25" s="33">
        <f>1.56+2.72</f>
        <v>4.28</v>
      </c>
      <c r="D25" s="31">
        <f t="shared" si="2"/>
        <v>1.2825000000000002</v>
      </c>
      <c r="E25" s="31">
        <f>1.02+1.33</f>
        <v>2.35</v>
      </c>
      <c r="F25" s="34">
        <f t="shared" si="3"/>
        <v>0.702</v>
      </c>
      <c r="G25" s="45">
        <f t="shared" si="0"/>
        <v>161.71600000000004</v>
      </c>
      <c r="H25" s="47">
        <f t="shared" si="4"/>
        <v>78.0265</v>
      </c>
      <c r="I25" s="8"/>
    </row>
    <row r="26" spans="1:9" ht="14.25">
      <c r="A26" s="32">
        <v>320</v>
      </c>
      <c r="B26" s="33">
        <f t="shared" si="1"/>
        <v>17</v>
      </c>
      <c r="C26" s="33">
        <f>2.31+1.32</f>
        <v>3.63</v>
      </c>
      <c r="D26" s="31">
        <f t="shared" si="2"/>
        <v>6.7235000000000005</v>
      </c>
      <c r="E26" s="31">
        <f>0.67+1.03</f>
        <v>1.7000000000000002</v>
      </c>
      <c r="F26" s="34">
        <f t="shared" si="3"/>
        <v>3.442500000000001</v>
      </c>
      <c r="G26" s="45">
        <f t="shared" si="0"/>
        <v>168.43950000000004</v>
      </c>
      <c r="H26" s="47">
        <f t="shared" si="4"/>
        <v>81.469</v>
      </c>
      <c r="I26" s="8"/>
    </row>
    <row r="27" spans="1:9" ht="14.25">
      <c r="A27" s="32">
        <v>340</v>
      </c>
      <c r="B27" s="33">
        <f t="shared" si="1"/>
        <v>20</v>
      </c>
      <c r="C27" s="33">
        <f>3.09+0.3</f>
        <v>3.3899999999999997</v>
      </c>
      <c r="D27" s="31">
        <f t="shared" si="2"/>
        <v>7.02</v>
      </c>
      <c r="E27" s="31">
        <f>0.41+0.82</f>
        <v>1.23</v>
      </c>
      <c r="F27" s="34">
        <f t="shared" si="3"/>
        <v>2.93</v>
      </c>
      <c r="G27" s="45">
        <f t="shared" si="0"/>
        <v>175.45950000000005</v>
      </c>
      <c r="H27" s="47">
        <f t="shared" si="4"/>
        <v>84.399</v>
      </c>
      <c r="I27" s="8"/>
    </row>
    <row r="28" spans="1:9" ht="14.25">
      <c r="A28" s="32">
        <v>344</v>
      </c>
      <c r="B28" s="33">
        <f t="shared" si="1"/>
        <v>4</v>
      </c>
      <c r="C28" s="33">
        <f>2.62+0.74</f>
        <v>3.3600000000000003</v>
      </c>
      <c r="D28" s="31">
        <f t="shared" si="2"/>
        <v>1.35</v>
      </c>
      <c r="E28" s="31">
        <f>0.43+0.93</f>
        <v>1.36</v>
      </c>
      <c r="F28" s="34">
        <f t="shared" si="3"/>
        <v>0.518</v>
      </c>
      <c r="G28" s="45">
        <f t="shared" si="0"/>
        <v>176.80950000000004</v>
      </c>
      <c r="H28" s="47">
        <f t="shared" si="4"/>
        <v>84.917</v>
      </c>
      <c r="I28" s="8"/>
    </row>
    <row r="29" spans="1:9" ht="14.25">
      <c r="A29" s="32">
        <v>360</v>
      </c>
      <c r="B29" s="33">
        <f t="shared" si="1"/>
        <v>16</v>
      </c>
      <c r="C29" s="33">
        <f>1.24+4.46</f>
        <v>5.7</v>
      </c>
      <c r="D29" s="31">
        <f t="shared" si="2"/>
        <v>7.248000000000001</v>
      </c>
      <c r="E29" s="31">
        <f>0.78+1.08</f>
        <v>1.86</v>
      </c>
      <c r="F29" s="34">
        <f t="shared" si="3"/>
        <v>2.5760000000000005</v>
      </c>
      <c r="G29" s="45">
        <f t="shared" si="0"/>
        <v>184.05750000000003</v>
      </c>
      <c r="H29" s="47">
        <f t="shared" si="4"/>
        <v>87.493</v>
      </c>
      <c r="I29" s="8"/>
    </row>
    <row r="30" spans="1:9" ht="14.25">
      <c r="A30" s="32">
        <v>378</v>
      </c>
      <c r="B30" s="33">
        <f t="shared" si="1"/>
        <v>18</v>
      </c>
      <c r="C30" s="33">
        <f>0.3+3.25</f>
        <v>3.55</v>
      </c>
      <c r="D30" s="31">
        <f t="shared" si="2"/>
        <v>8.325000000000001</v>
      </c>
      <c r="E30" s="31">
        <f>0.69+0.88</f>
        <v>1.5699999999999998</v>
      </c>
      <c r="F30" s="34">
        <f t="shared" si="3"/>
        <v>3.0869999999999997</v>
      </c>
      <c r="G30" s="45">
        <f t="shared" si="0"/>
        <v>192.38250000000002</v>
      </c>
      <c r="H30" s="47">
        <f t="shared" si="4"/>
        <v>90.58</v>
      </c>
      <c r="I30" s="8"/>
    </row>
    <row r="31" spans="1:9" ht="14.25">
      <c r="A31" s="32">
        <v>380</v>
      </c>
      <c r="B31" s="33">
        <f t="shared" si="1"/>
        <v>2</v>
      </c>
      <c r="C31" s="33">
        <f>0.3+3.23</f>
        <v>3.53</v>
      </c>
      <c r="D31" s="31">
        <f t="shared" si="2"/>
        <v>0.7080000000000001</v>
      </c>
      <c r="E31" s="31">
        <f>0.66+0.76</f>
        <v>1.42</v>
      </c>
      <c r="F31" s="34">
        <f t="shared" si="3"/>
        <v>0.299</v>
      </c>
      <c r="G31" s="45">
        <f t="shared" si="0"/>
        <v>193.09050000000002</v>
      </c>
      <c r="H31" s="47">
        <f t="shared" si="4"/>
        <v>90.879</v>
      </c>
      <c r="I31" s="8"/>
    </row>
    <row r="32" spans="1:9" ht="14.25">
      <c r="A32" s="32">
        <v>400</v>
      </c>
      <c r="B32" s="33">
        <f t="shared" si="1"/>
        <v>20</v>
      </c>
      <c r="C32" s="33">
        <f>0.54+2.63</f>
        <v>3.17</v>
      </c>
      <c r="D32" s="31">
        <f t="shared" si="2"/>
        <v>6.7</v>
      </c>
      <c r="E32" s="31">
        <f>0.59+0.55</f>
        <v>1.1400000000000001</v>
      </c>
      <c r="F32" s="34">
        <f t="shared" si="3"/>
        <v>2.5600000000000005</v>
      </c>
      <c r="G32" s="45">
        <f t="shared" si="0"/>
        <v>199.7905</v>
      </c>
      <c r="H32" s="47">
        <f t="shared" si="4"/>
        <v>93.43900000000001</v>
      </c>
      <c r="I32" s="8"/>
    </row>
    <row r="33" spans="1:9" ht="14.25">
      <c r="A33" s="32">
        <v>420</v>
      </c>
      <c r="B33" s="33">
        <f t="shared" si="1"/>
        <v>20</v>
      </c>
      <c r="C33" s="33">
        <f>1.52+1.72</f>
        <v>3.24</v>
      </c>
      <c r="D33" s="31">
        <f t="shared" si="2"/>
        <v>6.41</v>
      </c>
      <c r="E33" s="31">
        <f>0.42+0.52</f>
        <v>0.94</v>
      </c>
      <c r="F33" s="34">
        <f t="shared" si="3"/>
        <v>2.08</v>
      </c>
      <c r="G33" s="45">
        <f t="shared" si="0"/>
        <v>206.2005</v>
      </c>
      <c r="H33" s="47">
        <f t="shared" si="4"/>
        <v>95.519</v>
      </c>
      <c r="I33" s="8"/>
    </row>
    <row r="34" spans="1:9" ht="14.25">
      <c r="A34" s="32">
        <v>440</v>
      </c>
      <c r="B34" s="33">
        <f t="shared" si="1"/>
        <v>20</v>
      </c>
      <c r="C34" s="33">
        <f>1.73+1.57</f>
        <v>3.3</v>
      </c>
      <c r="D34" s="31">
        <f t="shared" si="2"/>
        <v>6.540000000000001</v>
      </c>
      <c r="E34" s="31">
        <f>0.6+0.65</f>
        <v>1.25</v>
      </c>
      <c r="F34" s="34">
        <f t="shared" si="3"/>
        <v>2.19</v>
      </c>
      <c r="G34" s="45">
        <f t="shared" si="0"/>
        <v>212.7405</v>
      </c>
      <c r="H34" s="47">
        <f t="shared" si="4"/>
        <v>97.709</v>
      </c>
      <c r="I34" s="8"/>
    </row>
    <row r="35" spans="1:9" ht="14.25">
      <c r="A35" s="32">
        <v>444</v>
      </c>
      <c r="B35" s="33">
        <f t="shared" si="1"/>
        <v>4</v>
      </c>
      <c r="C35" s="33">
        <f>1.76+1.69</f>
        <v>3.45</v>
      </c>
      <c r="D35" s="31">
        <f t="shared" si="2"/>
        <v>1.35</v>
      </c>
      <c r="E35" s="31">
        <f>0.72+0.77</f>
        <v>1.49</v>
      </c>
      <c r="F35" s="34">
        <f t="shared" si="3"/>
        <v>0.548</v>
      </c>
      <c r="G35" s="45">
        <f t="shared" si="0"/>
        <v>214.0905</v>
      </c>
      <c r="H35" s="47">
        <f t="shared" si="4"/>
        <v>98.257</v>
      </c>
      <c r="I35" s="8"/>
    </row>
    <row r="36" spans="1:9" ht="14.25">
      <c r="A36" s="32">
        <v>460</v>
      </c>
      <c r="B36" s="33">
        <f t="shared" si="1"/>
        <v>16</v>
      </c>
      <c r="C36" s="33">
        <f>1.48+1.87</f>
        <v>3.35</v>
      </c>
      <c r="D36" s="31">
        <f t="shared" si="2"/>
        <v>5.440000000000001</v>
      </c>
      <c r="E36" s="31">
        <f>0.61+0.7</f>
        <v>1.31</v>
      </c>
      <c r="F36" s="34">
        <f t="shared" si="3"/>
        <v>2.2399999999999998</v>
      </c>
      <c r="G36" s="45">
        <f t="shared" si="0"/>
        <v>219.5305</v>
      </c>
      <c r="H36" s="47">
        <f t="shared" si="4"/>
        <v>100.497</v>
      </c>
      <c r="I36" s="8"/>
    </row>
    <row r="37" spans="1:9" ht="14.25">
      <c r="A37" s="32">
        <v>480</v>
      </c>
      <c r="B37" s="33">
        <f t="shared" si="1"/>
        <v>20</v>
      </c>
      <c r="C37" s="33">
        <f>1.26+2.34</f>
        <v>3.5999999999999996</v>
      </c>
      <c r="D37" s="31">
        <f t="shared" si="2"/>
        <v>6.95</v>
      </c>
      <c r="E37" s="31">
        <f>0.67+1.01</f>
        <v>1.6800000000000002</v>
      </c>
      <c r="F37" s="34">
        <f t="shared" si="3"/>
        <v>2.99</v>
      </c>
      <c r="G37" s="45">
        <f t="shared" si="0"/>
        <v>226.48049999999998</v>
      </c>
      <c r="H37" s="47">
        <f t="shared" si="4"/>
        <v>103.487</v>
      </c>
      <c r="I37" s="8"/>
    </row>
    <row r="38" spans="1:9" ht="14.25">
      <c r="A38" s="32">
        <v>500</v>
      </c>
      <c r="B38" s="33">
        <f t="shared" si="1"/>
        <v>20</v>
      </c>
      <c r="C38" s="33">
        <f>1.24+2.53</f>
        <v>3.7699999999999996</v>
      </c>
      <c r="D38" s="31">
        <f t="shared" si="2"/>
        <v>7.369999999999999</v>
      </c>
      <c r="E38" s="31">
        <f>0.69+1.13</f>
        <v>1.8199999999999998</v>
      </c>
      <c r="F38" s="34">
        <f t="shared" si="3"/>
        <v>3.5</v>
      </c>
      <c r="G38" s="45">
        <f t="shared" si="0"/>
        <v>233.85049999999998</v>
      </c>
      <c r="H38" s="47">
        <f t="shared" si="4"/>
        <v>106.987</v>
      </c>
      <c r="I38" s="8"/>
    </row>
    <row r="39" spans="1:9" ht="14.25">
      <c r="A39" s="32">
        <v>520</v>
      </c>
      <c r="B39" s="33">
        <f t="shared" si="1"/>
        <v>20</v>
      </c>
      <c r="C39" s="33">
        <f>1.34+4.61</f>
        <v>5.95</v>
      </c>
      <c r="D39" s="31">
        <f t="shared" si="2"/>
        <v>9.719999999999999</v>
      </c>
      <c r="E39" s="31">
        <f>0.81+1.28</f>
        <v>2.09</v>
      </c>
      <c r="F39" s="34">
        <f t="shared" si="3"/>
        <v>3.9099999999999997</v>
      </c>
      <c r="G39" s="45">
        <f t="shared" si="0"/>
        <v>243.57049999999998</v>
      </c>
      <c r="H39" s="47">
        <f t="shared" si="4"/>
        <v>110.89699999999999</v>
      </c>
      <c r="I39" s="8"/>
    </row>
    <row r="40" spans="1:9" ht="14.25">
      <c r="A40" s="32">
        <v>540</v>
      </c>
      <c r="B40" s="33">
        <f t="shared" si="1"/>
        <v>20</v>
      </c>
      <c r="C40" s="33">
        <f>1.32+2.26</f>
        <v>3.58</v>
      </c>
      <c r="D40" s="31">
        <f t="shared" si="2"/>
        <v>9.530000000000001</v>
      </c>
      <c r="E40" s="31">
        <f>0.82+0.94</f>
        <v>1.7599999999999998</v>
      </c>
      <c r="F40" s="34">
        <f t="shared" si="3"/>
        <v>3.85</v>
      </c>
      <c r="G40" s="45">
        <f t="shared" si="0"/>
        <v>253.10049999999998</v>
      </c>
      <c r="H40" s="47">
        <f t="shared" si="4"/>
        <v>114.74699999999999</v>
      </c>
      <c r="I40" s="8"/>
    </row>
    <row r="41" spans="1:9" ht="14.25">
      <c r="A41" s="32">
        <v>549</v>
      </c>
      <c r="B41" s="33">
        <f t="shared" si="1"/>
        <v>9</v>
      </c>
      <c r="C41" s="33">
        <f>1.41+2.21</f>
        <v>3.62</v>
      </c>
      <c r="D41" s="31">
        <f t="shared" si="2"/>
        <v>3.24</v>
      </c>
      <c r="E41" s="31">
        <f>0.95+0.99</f>
        <v>1.94</v>
      </c>
      <c r="F41" s="34">
        <f t="shared" si="3"/>
        <v>1.665</v>
      </c>
      <c r="G41" s="45">
        <f t="shared" si="0"/>
        <v>256.34049999999996</v>
      </c>
      <c r="H41" s="47">
        <f t="shared" si="4"/>
        <v>116.41199999999999</v>
      </c>
      <c r="I41" s="8"/>
    </row>
    <row r="42" spans="1:9" ht="14.25">
      <c r="A42" s="32">
        <v>560</v>
      </c>
      <c r="B42" s="33">
        <f t="shared" si="1"/>
        <v>11</v>
      </c>
      <c r="C42" s="33">
        <v>1.43</v>
      </c>
      <c r="D42" s="31">
        <f t="shared" si="2"/>
        <v>2.7775</v>
      </c>
      <c r="E42" s="31">
        <f>1.12+1.04</f>
        <v>2.16</v>
      </c>
      <c r="F42" s="34">
        <f t="shared" si="3"/>
        <v>2.255</v>
      </c>
      <c r="G42" s="45">
        <f t="shared" si="0"/>
        <v>259.11799999999994</v>
      </c>
      <c r="H42" s="47">
        <f t="shared" si="4"/>
        <v>118.66699999999999</v>
      </c>
      <c r="I42" s="8"/>
    </row>
    <row r="43" spans="1:9" ht="14.25">
      <c r="A43" s="32">
        <v>567</v>
      </c>
      <c r="B43" s="33">
        <f t="shared" si="1"/>
        <v>7</v>
      </c>
      <c r="C43" s="33">
        <f>1.55+2.02</f>
        <v>3.5700000000000003</v>
      </c>
      <c r="D43" s="31">
        <f t="shared" si="2"/>
        <v>1.75</v>
      </c>
      <c r="E43" s="31">
        <f>0.98+0.93</f>
        <v>1.9100000000000001</v>
      </c>
      <c r="F43" s="34">
        <f t="shared" si="3"/>
        <v>1.4245</v>
      </c>
      <c r="G43" s="45">
        <f t="shared" si="0"/>
        <v>260.86799999999994</v>
      </c>
      <c r="H43" s="47">
        <f t="shared" si="4"/>
        <v>120.09149999999998</v>
      </c>
      <c r="I43" s="8"/>
    </row>
    <row r="44" spans="1:9" ht="14.25">
      <c r="A44" s="32">
        <v>580</v>
      </c>
      <c r="B44" s="33">
        <f t="shared" si="1"/>
        <v>13</v>
      </c>
      <c r="C44" s="33">
        <f>1.7+5.21</f>
        <v>6.91</v>
      </c>
      <c r="D44" s="31">
        <f t="shared" si="2"/>
        <v>6.812000000000001</v>
      </c>
      <c r="E44" s="31">
        <f>0.93+2.67+1.39</f>
        <v>4.99</v>
      </c>
      <c r="F44" s="34">
        <f t="shared" si="3"/>
        <v>4.485</v>
      </c>
      <c r="G44" s="45">
        <f t="shared" si="0"/>
        <v>267.67999999999995</v>
      </c>
      <c r="H44" s="47">
        <f t="shared" si="4"/>
        <v>124.57649999999998</v>
      </c>
      <c r="I44" s="8"/>
    </row>
    <row r="45" spans="1:9" ht="14.25">
      <c r="A45" s="32">
        <v>600</v>
      </c>
      <c r="B45" s="33">
        <f t="shared" si="1"/>
        <v>20</v>
      </c>
      <c r="C45" s="33">
        <f>1.87+4.74</f>
        <v>6.61</v>
      </c>
      <c r="D45" s="31">
        <f t="shared" si="2"/>
        <v>13.52</v>
      </c>
      <c r="E45" s="31">
        <f>0.52+2.39+1.56</f>
        <v>4.470000000000001</v>
      </c>
      <c r="F45" s="34">
        <f t="shared" si="3"/>
        <v>9.46</v>
      </c>
      <c r="G45" s="45">
        <f t="shared" si="0"/>
        <v>281.19999999999993</v>
      </c>
      <c r="H45" s="47">
        <f t="shared" si="4"/>
        <v>134.0365</v>
      </c>
      <c r="I45" s="8"/>
    </row>
    <row r="46" spans="1:9" ht="14.25">
      <c r="A46" s="32">
        <v>620</v>
      </c>
      <c r="B46" s="33">
        <f t="shared" si="1"/>
        <v>20</v>
      </c>
      <c r="C46" s="33">
        <f>1.75+4.67</f>
        <v>6.42</v>
      </c>
      <c r="D46" s="31">
        <f t="shared" si="2"/>
        <v>13.030000000000001</v>
      </c>
      <c r="E46" s="31">
        <f>0.54+2.29+1.39</f>
        <v>4.22</v>
      </c>
      <c r="F46" s="34">
        <f t="shared" si="3"/>
        <v>8.690000000000001</v>
      </c>
      <c r="G46" s="45">
        <f t="shared" si="0"/>
        <v>294.2299999999999</v>
      </c>
      <c r="H46" s="47">
        <f t="shared" si="4"/>
        <v>142.7265</v>
      </c>
      <c r="I46" s="8"/>
    </row>
    <row r="47" spans="1:9" ht="14.25">
      <c r="A47" s="32">
        <v>630</v>
      </c>
      <c r="B47" s="33">
        <f t="shared" si="1"/>
        <v>10</v>
      </c>
      <c r="C47" s="33">
        <f>1.55+4.9</f>
        <v>6.45</v>
      </c>
      <c r="D47" s="31">
        <f t="shared" si="2"/>
        <v>6.435000000000001</v>
      </c>
      <c r="E47" s="31">
        <f>0.57+2.29+1.46</f>
        <v>4.32</v>
      </c>
      <c r="F47" s="34">
        <f t="shared" si="3"/>
        <v>4.27</v>
      </c>
      <c r="G47" s="45">
        <f t="shared" si="0"/>
        <v>300.6649999999999</v>
      </c>
      <c r="H47" s="47">
        <f t="shared" si="4"/>
        <v>146.9965</v>
      </c>
      <c r="I47" s="8"/>
    </row>
    <row r="48" spans="1:9" ht="14.25">
      <c r="A48" s="32">
        <v>640</v>
      </c>
      <c r="B48" s="33">
        <f t="shared" si="1"/>
        <v>10</v>
      </c>
      <c r="C48" s="33">
        <f>1.46+5.15</f>
        <v>6.61</v>
      </c>
      <c r="D48" s="31">
        <f t="shared" si="2"/>
        <v>6.53</v>
      </c>
      <c r="E48" s="31">
        <f>0.46+2.3+1.74</f>
        <v>4.5</v>
      </c>
      <c r="F48" s="34">
        <f t="shared" si="3"/>
        <v>4.41</v>
      </c>
      <c r="G48" s="45">
        <f t="shared" si="0"/>
        <v>307.1949999999999</v>
      </c>
      <c r="H48" s="47">
        <f t="shared" si="4"/>
        <v>151.4065</v>
      </c>
      <c r="I48" s="8"/>
    </row>
    <row r="49" spans="1:9" ht="14.25">
      <c r="A49" s="32">
        <v>660</v>
      </c>
      <c r="B49" s="33">
        <f t="shared" si="1"/>
        <v>20</v>
      </c>
      <c r="C49" s="33">
        <f>1.06+5.39</f>
        <v>6.449999999999999</v>
      </c>
      <c r="D49" s="31">
        <f t="shared" si="2"/>
        <v>13.06</v>
      </c>
      <c r="E49" s="31">
        <f>0.49+2.27+1.51</f>
        <v>4.27</v>
      </c>
      <c r="F49" s="34">
        <f t="shared" si="3"/>
        <v>8.77</v>
      </c>
      <c r="G49" s="45">
        <f t="shared" si="0"/>
        <v>320.2549999999999</v>
      </c>
      <c r="H49" s="47">
        <f t="shared" si="4"/>
        <v>160.1765</v>
      </c>
      <c r="I49" s="11"/>
    </row>
    <row r="50" spans="1:9" ht="14.25">
      <c r="A50" s="32">
        <v>677</v>
      </c>
      <c r="B50" s="33">
        <f t="shared" si="1"/>
        <v>17</v>
      </c>
      <c r="C50" s="33">
        <f>0.71+2.59</f>
        <v>3.3</v>
      </c>
      <c r="D50" s="31">
        <f t="shared" si="2"/>
        <v>8.2875</v>
      </c>
      <c r="E50" s="31">
        <f>0.66+0.63</f>
        <v>1.29</v>
      </c>
      <c r="F50" s="34">
        <f t="shared" si="3"/>
        <v>4.726</v>
      </c>
      <c r="G50" s="45">
        <f t="shared" si="0"/>
        <v>328.5424999999999</v>
      </c>
      <c r="H50" s="47">
        <f t="shared" si="4"/>
        <v>164.9025</v>
      </c>
      <c r="I50" s="11"/>
    </row>
    <row r="51" spans="1:9" ht="14.25">
      <c r="A51" s="32">
        <v>680</v>
      </c>
      <c r="B51" s="33">
        <f t="shared" si="1"/>
        <v>3</v>
      </c>
      <c r="C51" s="33">
        <f>0.66+2.67</f>
        <v>3.33</v>
      </c>
      <c r="D51" s="31">
        <f t="shared" si="2"/>
        <v>0.9945</v>
      </c>
      <c r="E51" s="31">
        <f>0.76+0.59</f>
        <v>1.35</v>
      </c>
      <c r="F51" s="34">
        <f t="shared" si="3"/>
        <v>0.396</v>
      </c>
      <c r="G51" s="45">
        <f t="shared" si="0"/>
        <v>329.5369999999999</v>
      </c>
      <c r="H51" s="47">
        <f t="shared" si="4"/>
        <v>165.2985</v>
      </c>
      <c r="I51" s="11"/>
    </row>
    <row r="52" spans="1:9" ht="14.25">
      <c r="A52" s="32">
        <v>700</v>
      </c>
      <c r="B52" s="33">
        <f t="shared" si="1"/>
        <v>20</v>
      </c>
      <c r="C52" s="33">
        <f>0.54+5.69</f>
        <v>6.23</v>
      </c>
      <c r="D52" s="31">
        <f t="shared" si="2"/>
        <v>9.56</v>
      </c>
      <c r="E52" s="31">
        <f>0.77+1.09</f>
        <v>1.86</v>
      </c>
      <c r="F52" s="34">
        <f t="shared" si="3"/>
        <v>3.2100000000000004</v>
      </c>
      <c r="G52" s="45">
        <f t="shared" si="0"/>
        <v>339.0969999999999</v>
      </c>
      <c r="H52" s="47">
        <f t="shared" si="4"/>
        <v>168.5085</v>
      </c>
      <c r="I52" s="11"/>
    </row>
    <row r="53" spans="1:9" ht="14.25">
      <c r="A53" s="32">
        <v>720</v>
      </c>
      <c r="B53" s="33">
        <f t="shared" si="1"/>
        <v>20</v>
      </c>
      <c r="C53" s="33">
        <f>1.27+5.03</f>
        <v>6.300000000000001</v>
      </c>
      <c r="D53" s="31">
        <f t="shared" si="2"/>
        <v>12.530000000000001</v>
      </c>
      <c r="E53" s="31">
        <f>0.85+0.99</f>
        <v>1.8399999999999999</v>
      </c>
      <c r="F53" s="34">
        <f t="shared" si="3"/>
        <v>3.7</v>
      </c>
      <c r="G53" s="45">
        <f t="shared" si="0"/>
        <v>351.62699999999995</v>
      </c>
      <c r="H53" s="47">
        <f t="shared" si="4"/>
        <v>172.2085</v>
      </c>
      <c r="I53" s="11"/>
    </row>
    <row r="54" spans="1:9" ht="14.25">
      <c r="A54" s="32">
        <v>729</v>
      </c>
      <c r="B54" s="33">
        <f t="shared" si="1"/>
        <v>9</v>
      </c>
      <c r="C54" s="33">
        <f>1.57+4.78</f>
        <v>6.3500000000000005</v>
      </c>
      <c r="D54" s="31">
        <f t="shared" si="2"/>
        <v>5.692500000000002</v>
      </c>
      <c r="E54" s="31">
        <f>0.92+1.08</f>
        <v>2</v>
      </c>
      <c r="F54" s="34">
        <f t="shared" si="3"/>
        <v>1.7280000000000002</v>
      </c>
      <c r="G54" s="45">
        <f t="shared" si="0"/>
        <v>357.31949999999995</v>
      </c>
      <c r="H54" s="47">
        <f t="shared" si="4"/>
        <v>173.9365</v>
      </c>
      <c r="I54" s="11"/>
    </row>
    <row r="55" spans="1:9" ht="14.25">
      <c r="A55" s="32">
        <v>740</v>
      </c>
      <c r="B55" s="33">
        <f t="shared" si="1"/>
        <v>11</v>
      </c>
      <c r="C55" s="33">
        <f>2.2+4.22</f>
        <v>6.42</v>
      </c>
      <c r="D55" s="31">
        <f t="shared" si="2"/>
        <v>7.0235</v>
      </c>
      <c r="E55" s="31">
        <f>1.36+0.59</f>
        <v>1.9500000000000002</v>
      </c>
      <c r="F55" s="34">
        <f t="shared" si="3"/>
        <v>2.1725000000000003</v>
      </c>
      <c r="G55" s="45">
        <f t="shared" si="0"/>
        <v>364.34299999999996</v>
      </c>
      <c r="H55" s="47">
        <f t="shared" si="4"/>
        <v>176.109</v>
      </c>
      <c r="I55" s="11"/>
    </row>
    <row r="56" spans="1:9" ht="14.25">
      <c r="A56" s="32">
        <v>760</v>
      </c>
      <c r="B56" s="33">
        <f t="shared" si="1"/>
        <v>20</v>
      </c>
      <c r="C56" s="33">
        <f>1.93+1.68</f>
        <v>3.61</v>
      </c>
      <c r="D56" s="31">
        <f t="shared" si="2"/>
        <v>10.030000000000001</v>
      </c>
      <c r="E56" s="31">
        <f>1+0.69</f>
        <v>1.69</v>
      </c>
      <c r="F56" s="34">
        <f t="shared" si="3"/>
        <v>3.64</v>
      </c>
      <c r="G56" s="45">
        <f t="shared" si="0"/>
        <v>374.37299999999993</v>
      </c>
      <c r="H56" s="47">
        <f t="shared" si="4"/>
        <v>179.749</v>
      </c>
      <c r="I56" s="11"/>
    </row>
    <row r="57" spans="1:9" ht="14.25">
      <c r="A57" s="32">
        <v>764</v>
      </c>
      <c r="B57" s="33">
        <f t="shared" si="1"/>
        <v>4</v>
      </c>
      <c r="C57" s="33">
        <f>1.85+1.7</f>
        <v>3.55</v>
      </c>
      <c r="D57" s="31">
        <f t="shared" si="2"/>
        <v>1.4320000000000002</v>
      </c>
      <c r="E57" s="31">
        <f>0.97+0.57</f>
        <v>1.54</v>
      </c>
      <c r="F57" s="34">
        <f t="shared" si="3"/>
        <v>0.646</v>
      </c>
      <c r="G57" s="45">
        <f t="shared" si="0"/>
        <v>375.80499999999995</v>
      </c>
      <c r="H57" s="47">
        <f t="shared" si="4"/>
        <v>180.39499999999998</v>
      </c>
      <c r="I57" s="11"/>
    </row>
    <row r="58" spans="1:9" ht="14.25">
      <c r="A58" s="32">
        <v>780</v>
      </c>
      <c r="B58" s="33">
        <f t="shared" si="1"/>
        <v>16</v>
      </c>
      <c r="C58" s="33">
        <f>1.64+2.09</f>
        <v>3.7299999999999995</v>
      </c>
      <c r="D58" s="31">
        <f t="shared" si="2"/>
        <v>5.824</v>
      </c>
      <c r="E58" s="31">
        <f>0.76+0.81</f>
        <v>1.57</v>
      </c>
      <c r="F58" s="34">
        <f t="shared" si="3"/>
        <v>2.4880000000000004</v>
      </c>
      <c r="G58" s="45">
        <f t="shared" si="0"/>
        <v>381.62899999999996</v>
      </c>
      <c r="H58" s="47">
        <f t="shared" si="4"/>
        <v>182.88299999999998</v>
      </c>
      <c r="I58" s="11"/>
    </row>
    <row r="59" spans="1:9" ht="14.25">
      <c r="A59" s="32">
        <v>800</v>
      </c>
      <c r="B59" s="33">
        <f t="shared" si="1"/>
        <v>20</v>
      </c>
      <c r="C59" s="33">
        <f>1.68+1.72</f>
        <v>3.4</v>
      </c>
      <c r="D59" s="31">
        <f t="shared" si="2"/>
        <v>7.129999999999999</v>
      </c>
      <c r="E59" s="31">
        <f>0.78+0.52</f>
        <v>1.3</v>
      </c>
      <c r="F59" s="34">
        <f t="shared" si="3"/>
        <v>2.8700000000000006</v>
      </c>
      <c r="G59" s="45">
        <f t="shared" si="0"/>
        <v>388.75899999999996</v>
      </c>
      <c r="H59" s="47">
        <f t="shared" si="4"/>
        <v>185.753</v>
      </c>
      <c r="I59" s="11"/>
    </row>
    <row r="60" spans="1:9" ht="14.25">
      <c r="A60" s="32">
        <v>820</v>
      </c>
      <c r="B60" s="33">
        <f t="shared" si="1"/>
        <v>20</v>
      </c>
      <c r="C60" s="33">
        <f>1.71+1.63</f>
        <v>3.34</v>
      </c>
      <c r="D60" s="31">
        <f t="shared" si="2"/>
        <v>6.740000000000001</v>
      </c>
      <c r="E60" s="31">
        <f>0.76+0.51</f>
        <v>1.27</v>
      </c>
      <c r="F60" s="34">
        <f t="shared" si="3"/>
        <v>2.5700000000000003</v>
      </c>
      <c r="G60" s="45">
        <f t="shared" si="0"/>
        <v>395.49899999999997</v>
      </c>
      <c r="H60" s="47">
        <f t="shared" si="4"/>
        <v>188.32299999999998</v>
      </c>
      <c r="I60" s="11"/>
    </row>
    <row r="61" spans="1:9" ht="14.25">
      <c r="A61" s="32">
        <v>840</v>
      </c>
      <c r="B61" s="33">
        <f t="shared" si="1"/>
        <v>20</v>
      </c>
      <c r="C61" s="33">
        <f>1.74+1.64</f>
        <v>3.38</v>
      </c>
      <c r="D61" s="31">
        <f t="shared" si="2"/>
        <v>6.720000000000001</v>
      </c>
      <c r="E61" s="31">
        <f>0.8+0.57</f>
        <v>1.37</v>
      </c>
      <c r="F61" s="34">
        <f t="shared" si="3"/>
        <v>2.6400000000000006</v>
      </c>
      <c r="G61" s="45">
        <f t="shared" si="0"/>
        <v>402.219</v>
      </c>
      <c r="H61" s="47">
        <f t="shared" si="4"/>
        <v>190.96299999999997</v>
      </c>
      <c r="I61" s="11"/>
    </row>
    <row r="62" spans="1:9" ht="14.25">
      <c r="A62" s="32">
        <v>860</v>
      </c>
      <c r="B62" s="33">
        <f t="shared" si="1"/>
        <v>20</v>
      </c>
      <c r="C62" s="33">
        <f>1.56+1.73</f>
        <v>3.29</v>
      </c>
      <c r="D62" s="31">
        <f t="shared" si="2"/>
        <v>6.670000000000001</v>
      </c>
      <c r="E62" s="31">
        <f>0.49+0.67</f>
        <v>1.1600000000000001</v>
      </c>
      <c r="F62" s="34">
        <f t="shared" si="3"/>
        <v>2.5300000000000007</v>
      </c>
      <c r="G62" s="45">
        <f t="shared" si="0"/>
        <v>408.889</v>
      </c>
      <c r="H62" s="47">
        <f t="shared" si="4"/>
        <v>193.49299999999997</v>
      </c>
      <c r="I62" s="11"/>
    </row>
    <row r="63" spans="1:9" ht="14.25">
      <c r="A63" s="32">
        <v>873</v>
      </c>
      <c r="B63" s="33">
        <f t="shared" si="1"/>
        <v>13</v>
      </c>
      <c r="C63" s="33">
        <f>1.81+1.58</f>
        <v>3.39</v>
      </c>
      <c r="D63" s="31">
        <f t="shared" si="2"/>
        <v>4.3420000000000005</v>
      </c>
      <c r="E63" s="31">
        <f>0.66+0.7</f>
        <v>1.3599999999999999</v>
      </c>
      <c r="F63" s="34">
        <f t="shared" si="3"/>
        <v>1.638</v>
      </c>
      <c r="G63" s="45">
        <f t="shared" si="0"/>
        <v>413.231</v>
      </c>
      <c r="H63" s="47">
        <f t="shared" si="4"/>
        <v>195.13099999999997</v>
      </c>
      <c r="I63" s="11"/>
    </row>
    <row r="64" spans="1:9" ht="14.25">
      <c r="A64" s="32">
        <v>880</v>
      </c>
      <c r="B64" s="33">
        <f t="shared" si="1"/>
        <v>7</v>
      </c>
      <c r="C64" s="33">
        <f>1.9+1.55</f>
        <v>3.45</v>
      </c>
      <c r="D64" s="31">
        <f t="shared" si="2"/>
        <v>2.3939999999999997</v>
      </c>
      <c r="E64" s="31">
        <f>0.65+0.76</f>
        <v>1.4100000000000001</v>
      </c>
      <c r="F64" s="34">
        <f t="shared" si="3"/>
        <v>0.9695</v>
      </c>
      <c r="G64" s="45">
        <f t="shared" si="0"/>
        <v>415.625</v>
      </c>
      <c r="H64" s="47">
        <f t="shared" si="4"/>
        <v>196.10049999999998</v>
      </c>
      <c r="I64" s="11"/>
    </row>
    <row r="65" spans="1:9" ht="14.25">
      <c r="A65" s="32">
        <v>896</v>
      </c>
      <c r="B65" s="33">
        <f t="shared" si="1"/>
        <v>16</v>
      </c>
      <c r="C65" s="33">
        <f>1.76+1.75</f>
        <v>3.51</v>
      </c>
      <c r="D65" s="31">
        <f t="shared" si="2"/>
        <v>5.5680000000000005</v>
      </c>
      <c r="E65" s="31">
        <f>0.72+0.76</f>
        <v>1.48</v>
      </c>
      <c r="F65" s="34">
        <f t="shared" si="3"/>
        <v>2.3120000000000003</v>
      </c>
      <c r="G65" s="45">
        <f t="shared" si="0"/>
        <v>421.193</v>
      </c>
      <c r="H65" s="47">
        <f t="shared" si="4"/>
        <v>198.4125</v>
      </c>
      <c r="I65" s="11"/>
    </row>
    <row r="66" spans="1:9" ht="14.25">
      <c r="A66" s="32">
        <v>900</v>
      </c>
      <c r="B66" s="33">
        <f t="shared" si="1"/>
        <v>4</v>
      </c>
      <c r="C66" s="33">
        <f>1.63+1.9</f>
        <v>3.53</v>
      </c>
      <c r="D66" s="31">
        <f t="shared" si="2"/>
        <v>1.408</v>
      </c>
      <c r="E66" s="31">
        <f>0.75+0.82</f>
        <v>1.5699999999999998</v>
      </c>
      <c r="F66" s="34">
        <f t="shared" si="3"/>
        <v>0.61</v>
      </c>
      <c r="G66" s="45">
        <f t="shared" si="0"/>
        <v>422.601</v>
      </c>
      <c r="H66" s="47">
        <f t="shared" si="4"/>
        <v>199.0225</v>
      </c>
      <c r="I66" s="11"/>
    </row>
    <row r="67" spans="1:9" ht="14.25">
      <c r="A67" s="32">
        <v>920</v>
      </c>
      <c r="B67" s="33">
        <f t="shared" si="1"/>
        <v>20</v>
      </c>
      <c r="C67" s="33">
        <f>1.2+2.12</f>
        <v>3.3200000000000003</v>
      </c>
      <c r="D67" s="31">
        <f t="shared" si="2"/>
        <v>6.8500000000000005</v>
      </c>
      <c r="E67" s="31">
        <f>0.59+0.74</f>
        <v>1.33</v>
      </c>
      <c r="F67" s="34">
        <f t="shared" si="3"/>
        <v>2.9000000000000004</v>
      </c>
      <c r="G67" s="45">
        <f t="shared" si="0"/>
        <v>429.451</v>
      </c>
      <c r="H67" s="47">
        <f t="shared" si="4"/>
        <v>201.9225</v>
      </c>
      <c r="I67" s="11"/>
    </row>
    <row r="68" spans="1:9" ht="14.25">
      <c r="A68" s="32">
        <v>940</v>
      </c>
      <c r="B68" s="33">
        <f t="shared" si="1"/>
        <v>20</v>
      </c>
      <c r="C68" s="33">
        <f>0.95+2.74</f>
        <v>3.6900000000000004</v>
      </c>
      <c r="D68" s="31">
        <f t="shared" si="2"/>
        <v>7.010000000000002</v>
      </c>
      <c r="E68" s="31">
        <f>0.69+1.14</f>
        <v>1.8299999999999998</v>
      </c>
      <c r="F68" s="34">
        <f t="shared" si="3"/>
        <v>3.16</v>
      </c>
      <c r="G68" s="45">
        <f t="shared" si="0"/>
        <v>436.461</v>
      </c>
      <c r="H68" s="47">
        <f t="shared" si="4"/>
        <v>205.0825</v>
      </c>
      <c r="I68" s="11"/>
    </row>
    <row r="69" spans="1:9" ht="14.25">
      <c r="A69" s="32">
        <v>960</v>
      </c>
      <c r="B69" s="33">
        <f t="shared" si="1"/>
        <v>20</v>
      </c>
      <c r="C69" s="33">
        <f>0.8+2.98</f>
        <v>3.7800000000000002</v>
      </c>
      <c r="D69" s="31">
        <f t="shared" si="2"/>
        <v>7.470000000000001</v>
      </c>
      <c r="E69" s="31">
        <f>0.86+1.17</f>
        <v>2.03</v>
      </c>
      <c r="F69" s="34">
        <f t="shared" si="3"/>
        <v>3.8599999999999994</v>
      </c>
      <c r="G69" s="45">
        <f t="shared" si="0"/>
        <v>443.93100000000004</v>
      </c>
      <c r="H69" s="47">
        <f t="shared" si="4"/>
        <v>208.9425</v>
      </c>
      <c r="I69" s="11"/>
    </row>
    <row r="70" spans="1:9" ht="14.25">
      <c r="A70" s="32">
        <v>980</v>
      </c>
      <c r="B70" s="33">
        <f t="shared" si="1"/>
        <v>20</v>
      </c>
      <c r="C70" s="33">
        <f>0.63+5.16</f>
        <v>5.79</v>
      </c>
      <c r="D70" s="31">
        <f t="shared" si="2"/>
        <v>9.57</v>
      </c>
      <c r="E70" s="31">
        <f>0.99+1.68</f>
        <v>2.67</v>
      </c>
      <c r="F70" s="34">
        <f t="shared" si="3"/>
        <v>4.699999999999999</v>
      </c>
      <c r="G70" s="45">
        <f t="shared" si="0"/>
        <v>453.50100000000003</v>
      </c>
      <c r="H70" s="47">
        <f t="shared" si="4"/>
        <v>213.64249999999998</v>
      </c>
      <c r="I70" s="11"/>
    </row>
    <row r="71" spans="1:9" ht="14.25">
      <c r="A71" s="32">
        <v>1000</v>
      </c>
      <c r="B71" s="33">
        <f t="shared" si="1"/>
        <v>20</v>
      </c>
      <c r="C71" s="33">
        <f>0.5+5.77</f>
        <v>6.27</v>
      </c>
      <c r="D71" s="31">
        <f t="shared" si="2"/>
        <v>12.06</v>
      </c>
      <c r="E71" s="31">
        <f>1.09+1.76</f>
        <v>2.85</v>
      </c>
      <c r="F71" s="34">
        <f t="shared" si="3"/>
        <v>5.52</v>
      </c>
      <c r="G71" s="45">
        <f aca="true" t="shared" si="5" ref="G71:G81">SUM(D71,G70)</f>
        <v>465.56100000000004</v>
      </c>
      <c r="H71" s="47">
        <f t="shared" si="4"/>
        <v>219.1625</v>
      </c>
      <c r="I71" s="11"/>
    </row>
    <row r="72" spans="1:9" ht="14.25">
      <c r="A72" s="32">
        <v>1020</v>
      </c>
      <c r="B72" s="33">
        <f t="shared" si="1"/>
        <v>20</v>
      </c>
      <c r="C72" s="33">
        <f>0.41+3.67</f>
        <v>4.08</v>
      </c>
      <c r="D72" s="31">
        <f t="shared" si="2"/>
        <v>10.350000000000001</v>
      </c>
      <c r="E72" s="31">
        <f>1.13+1.6</f>
        <v>2.73</v>
      </c>
      <c r="F72" s="34">
        <f t="shared" si="3"/>
        <v>5.58</v>
      </c>
      <c r="G72" s="45">
        <f t="shared" si="5"/>
        <v>475.91100000000006</v>
      </c>
      <c r="H72" s="47">
        <f t="shared" si="4"/>
        <v>224.7425</v>
      </c>
      <c r="I72" s="11"/>
    </row>
    <row r="73" spans="1:9" ht="14.25">
      <c r="A73" s="32">
        <v>1040</v>
      </c>
      <c r="B73" s="33">
        <f aca="true" t="shared" si="6" ref="B73:B81">SUM(A73-A72)</f>
        <v>20</v>
      </c>
      <c r="C73" s="33">
        <f>0.32+3.27</f>
        <v>3.59</v>
      </c>
      <c r="D73" s="31">
        <f t="shared" si="2"/>
        <v>7.670000000000001</v>
      </c>
      <c r="E73" s="31">
        <f>0.95+1.13</f>
        <v>2.08</v>
      </c>
      <c r="F73" s="34">
        <f t="shared" si="3"/>
        <v>4.810000000000001</v>
      </c>
      <c r="G73" s="45">
        <f t="shared" si="5"/>
        <v>483.5810000000001</v>
      </c>
      <c r="H73" s="47">
        <f t="shared" si="4"/>
        <v>229.5525</v>
      </c>
      <c r="I73" s="11"/>
    </row>
    <row r="74" spans="1:9" ht="14.25">
      <c r="A74" s="32">
        <v>1060</v>
      </c>
      <c r="B74" s="33">
        <f t="shared" si="6"/>
        <v>20</v>
      </c>
      <c r="C74" s="33">
        <f>0.49+2.92</f>
        <v>3.41</v>
      </c>
      <c r="D74" s="31">
        <f aca="true" t="shared" si="7" ref="D74:D81">(SUM(C73:C74)/2)*B74*0.1</f>
        <v>7</v>
      </c>
      <c r="E74" s="31">
        <f>0.95+0.99</f>
        <v>1.94</v>
      </c>
      <c r="F74" s="34">
        <f aca="true" t="shared" si="8" ref="F74:F81">(SUM(E73:E74)/2)*B74*0.1</f>
        <v>4.02</v>
      </c>
      <c r="G74" s="45">
        <f t="shared" si="5"/>
        <v>490.5810000000001</v>
      </c>
      <c r="H74" s="47">
        <f aca="true" t="shared" si="9" ref="H74:H81">SUM(F74,H73)</f>
        <v>233.57250000000002</v>
      </c>
      <c r="I74" s="11"/>
    </row>
    <row r="75" spans="1:9" ht="14.25">
      <c r="A75" s="32">
        <v>1080</v>
      </c>
      <c r="B75" s="33">
        <f t="shared" si="6"/>
        <v>20</v>
      </c>
      <c r="C75" s="33">
        <f>0.84+3.27</f>
        <v>4.11</v>
      </c>
      <c r="D75" s="31">
        <f t="shared" si="7"/>
        <v>7.5200000000000005</v>
      </c>
      <c r="E75" s="31">
        <f>0.93+1.26</f>
        <v>2.19</v>
      </c>
      <c r="F75" s="34">
        <f t="shared" si="8"/>
        <v>4.13</v>
      </c>
      <c r="G75" s="45">
        <f t="shared" si="5"/>
        <v>498.10100000000006</v>
      </c>
      <c r="H75" s="47">
        <f t="shared" si="9"/>
        <v>237.70250000000001</v>
      </c>
      <c r="I75" s="11"/>
    </row>
    <row r="76" spans="1:9" ht="14.25">
      <c r="A76" s="32">
        <v>1100</v>
      </c>
      <c r="B76" s="33">
        <f t="shared" si="6"/>
        <v>20</v>
      </c>
      <c r="C76" s="33">
        <f>1.22+3.07</f>
        <v>4.29</v>
      </c>
      <c r="D76" s="31">
        <f t="shared" si="7"/>
        <v>8.4</v>
      </c>
      <c r="E76" s="31">
        <f>1+1.01</f>
        <v>2.01</v>
      </c>
      <c r="F76" s="34">
        <f t="shared" si="8"/>
        <v>4.199999999999999</v>
      </c>
      <c r="G76" s="45">
        <f t="shared" si="5"/>
        <v>506.50100000000003</v>
      </c>
      <c r="H76" s="47">
        <f t="shared" si="9"/>
        <v>241.9025</v>
      </c>
      <c r="I76" s="11"/>
    </row>
    <row r="77" spans="1:9" ht="14.25">
      <c r="A77" s="32">
        <v>1107</v>
      </c>
      <c r="B77" s="33">
        <f t="shared" si="6"/>
        <v>7</v>
      </c>
      <c r="C77" s="33">
        <f>1.19+2.55</f>
        <v>3.7399999999999998</v>
      </c>
      <c r="D77" s="31">
        <f t="shared" si="7"/>
        <v>2.8104999999999998</v>
      </c>
      <c r="E77" s="31">
        <f>0.89+0.71</f>
        <v>1.6</v>
      </c>
      <c r="F77" s="34">
        <f t="shared" si="8"/>
        <v>1.2635</v>
      </c>
      <c r="G77" s="45">
        <f t="shared" si="5"/>
        <v>509.3115</v>
      </c>
      <c r="H77" s="47">
        <f t="shared" si="9"/>
        <v>243.166</v>
      </c>
      <c r="I77" s="11"/>
    </row>
    <row r="78" spans="1:9" ht="14.25">
      <c r="A78" s="32">
        <v>1120</v>
      </c>
      <c r="B78" s="33">
        <f t="shared" si="6"/>
        <v>13</v>
      </c>
      <c r="C78" s="33">
        <f>1.09+2.16</f>
        <v>3.25</v>
      </c>
      <c r="D78" s="31">
        <f t="shared" si="7"/>
        <v>4.543500000000001</v>
      </c>
      <c r="E78" s="31">
        <f>0.67+0.59</f>
        <v>1.26</v>
      </c>
      <c r="F78" s="34">
        <f t="shared" si="8"/>
        <v>1.8590000000000004</v>
      </c>
      <c r="G78" s="45">
        <f t="shared" si="5"/>
        <v>513.855</v>
      </c>
      <c r="H78" s="47">
        <f t="shared" si="9"/>
        <v>245.025</v>
      </c>
      <c r="I78" s="11"/>
    </row>
    <row r="79" spans="1:9" ht="14.25">
      <c r="A79" s="32">
        <v>1140</v>
      </c>
      <c r="B79" s="33">
        <f t="shared" si="6"/>
        <v>20</v>
      </c>
      <c r="C79" s="33">
        <f>0.59+2.81</f>
        <v>3.4</v>
      </c>
      <c r="D79" s="31">
        <f t="shared" si="7"/>
        <v>6.65</v>
      </c>
      <c r="E79" s="31">
        <f>0.75+0.63</f>
        <v>1.38</v>
      </c>
      <c r="F79" s="34">
        <f t="shared" si="8"/>
        <v>2.64</v>
      </c>
      <c r="G79" s="45">
        <f t="shared" si="5"/>
        <v>520.505</v>
      </c>
      <c r="H79" s="47">
        <f t="shared" si="9"/>
        <v>247.665</v>
      </c>
      <c r="I79" s="11"/>
    </row>
    <row r="80" spans="1:9" ht="14.25">
      <c r="A80" s="32">
        <v>1142</v>
      </c>
      <c r="B80" s="33">
        <f t="shared" si="6"/>
        <v>2</v>
      </c>
      <c r="C80" s="33">
        <f>0.56+2.83</f>
        <v>3.39</v>
      </c>
      <c r="D80" s="31">
        <f t="shared" si="7"/>
        <v>0.679</v>
      </c>
      <c r="E80" s="31">
        <f>0.78+0.62</f>
        <v>1.4</v>
      </c>
      <c r="F80" s="34">
        <f t="shared" si="8"/>
        <v>0.27799999999999997</v>
      </c>
      <c r="G80" s="45">
        <f t="shared" si="5"/>
        <v>521.184</v>
      </c>
      <c r="H80" s="47">
        <f t="shared" si="9"/>
        <v>247.94299999999998</v>
      </c>
      <c r="I80" s="11"/>
    </row>
    <row r="81" spans="1:9" ht="15" thickBot="1">
      <c r="A81" s="39">
        <v>1150</v>
      </c>
      <c r="B81" s="37">
        <f t="shared" si="6"/>
        <v>8</v>
      </c>
      <c r="C81" s="37">
        <f>0</f>
        <v>0</v>
      </c>
      <c r="D81" s="38">
        <f t="shared" si="7"/>
        <v>1.356</v>
      </c>
      <c r="E81" s="38">
        <f>0.86+0.58</f>
        <v>1.44</v>
      </c>
      <c r="F81" s="35">
        <f t="shared" si="8"/>
        <v>1.136</v>
      </c>
      <c r="G81" s="46">
        <f t="shared" si="5"/>
        <v>522.54</v>
      </c>
      <c r="H81" s="48">
        <f t="shared" si="9"/>
        <v>249.07899999999998</v>
      </c>
      <c r="I81" s="11"/>
    </row>
    <row r="82" spans="1:9" ht="15" thickBot="1">
      <c r="A82" s="40"/>
      <c r="B82" s="41"/>
      <c r="C82" s="36" t="s">
        <v>23</v>
      </c>
      <c r="D82" s="36">
        <f>SUM(D7:D81)</f>
        <v>522.54</v>
      </c>
      <c r="E82" s="42"/>
      <c r="F82" s="36">
        <f>SUM(F7:F81)</f>
        <v>249.07899999999998</v>
      </c>
      <c r="G82" s="43"/>
      <c r="H82" s="44"/>
      <c r="I82" s="11"/>
    </row>
    <row r="83" spans="1:9" ht="14.25">
      <c r="A83" s="6"/>
      <c r="B83" s="9"/>
      <c r="C83" s="9"/>
      <c r="D83" s="9"/>
      <c r="E83" s="9"/>
      <c r="F83" s="9"/>
      <c r="G83" s="9"/>
      <c r="H83" s="9"/>
      <c r="I83" s="11"/>
    </row>
    <row r="84" spans="1:9" ht="14.25">
      <c r="A84" s="6"/>
      <c r="B84" s="9"/>
      <c r="C84" s="9"/>
      <c r="D84" s="9"/>
      <c r="E84" s="9"/>
      <c r="F84" s="9"/>
      <c r="G84" s="9"/>
      <c r="H84" s="9"/>
      <c r="I84" s="11"/>
    </row>
    <row r="85" spans="1:9" ht="14.25">
      <c r="A85" s="6"/>
      <c r="B85" s="9"/>
      <c r="C85" s="10"/>
      <c r="D85" s="10"/>
      <c r="E85" s="10"/>
      <c r="F85" s="10"/>
      <c r="G85" s="9"/>
      <c r="H85" s="9"/>
      <c r="I85" s="11"/>
    </row>
    <row r="86" spans="1:9" ht="14.2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4.25">
      <c r="A87" s="25"/>
      <c r="B87" s="25"/>
      <c r="C87" s="25"/>
      <c r="D87" s="25"/>
      <c r="E87" s="25"/>
      <c r="F87" s="25"/>
      <c r="G87" s="25"/>
      <c r="H87" s="25"/>
      <c r="I87" s="11"/>
    </row>
    <row r="88" spans="1:9" ht="15">
      <c r="A88" s="26"/>
      <c r="B88" s="26"/>
      <c r="C88" s="26"/>
      <c r="D88" s="26"/>
      <c r="E88" s="26"/>
      <c r="F88" s="26"/>
      <c r="G88" s="26"/>
      <c r="H88" s="26"/>
      <c r="I88" s="11"/>
    </row>
    <row r="89" spans="1:9" ht="14.25">
      <c r="A89" s="27"/>
      <c r="B89" s="28"/>
      <c r="C89" s="29"/>
      <c r="D89" s="28"/>
      <c r="E89" s="28"/>
      <c r="F89" s="28"/>
      <c r="G89" s="28"/>
      <c r="H89" s="28"/>
      <c r="I89" s="11"/>
    </row>
    <row r="90" spans="1:9" ht="14.25">
      <c r="A90" s="27"/>
      <c r="B90" s="28"/>
      <c r="C90" s="29"/>
      <c r="D90" s="28"/>
      <c r="E90" s="28"/>
      <c r="F90" s="28"/>
      <c r="G90" s="28"/>
      <c r="H90" s="28"/>
      <c r="I90" s="11"/>
    </row>
    <row r="91" spans="1:9" ht="14.25">
      <c r="A91" s="24"/>
      <c r="B91" s="24"/>
      <c r="C91" s="9"/>
      <c r="D91" s="24"/>
      <c r="E91" s="24"/>
      <c r="F91" s="24"/>
      <c r="G91" s="24"/>
      <c r="H91" s="24"/>
      <c r="I91" s="11"/>
    </row>
    <row r="92" spans="1:9" ht="14.25">
      <c r="A92" s="6"/>
      <c r="B92" s="9"/>
      <c r="C92" s="9"/>
      <c r="D92" s="9"/>
      <c r="E92" s="9"/>
      <c r="F92" s="9"/>
      <c r="G92" s="9"/>
      <c r="H92" s="9"/>
      <c r="I92" s="11"/>
    </row>
    <row r="93" spans="1:9" ht="14.25">
      <c r="A93" s="6"/>
      <c r="B93" s="9"/>
      <c r="C93" s="9"/>
      <c r="D93" s="9"/>
      <c r="E93" s="9"/>
      <c r="F93" s="9"/>
      <c r="G93" s="9"/>
      <c r="H93" s="9"/>
      <c r="I93" s="11"/>
    </row>
    <row r="94" spans="1:9" ht="14.25">
      <c r="A94" s="6"/>
      <c r="B94" s="9"/>
      <c r="C94" s="9"/>
      <c r="D94" s="9"/>
      <c r="E94" s="9"/>
      <c r="F94" s="9"/>
      <c r="G94" s="9"/>
      <c r="H94" s="9"/>
      <c r="I94" s="11"/>
    </row>
    <row r="95" spans="1:9" ht="14.25">
      <c r="A95" s="6"/>
      <c r="B95" s="9"/>
      <c r="C95" s="9"/>
      <c r="D95" s="9"/>
      <c r="E95" s="9"/>
      <c r="F95" s="9"/>
      <c r="G95" s="9"/>
      <c r="H95" s="9"/>
      <c r="I95" s="11"/>
    </row>
    <row r="96" spans="1:9" ht="14.25">
      <c r="A96" s="6"/>
      <c r="B96" s="9"/>
      <c r="C96" s="9"/>
      <c r="D96" s="9"/>
      <c r="E96" s="9"/>
      <c r="F96" s="9"/>
      <c r="G96" s="9"/>
      <c r="H96" s="9"/>
      <c r="I96" s="11"/>
    </row>
    <row r="97" spans="1:9" ht="14.25">
      <c r="A97" s="6"/>
      <c r="B97" s="9"/>
      <c r="C97" s="10"/>
      <c r="D97" s="10"/>
      <c r="E97" s="10"/>
      <c r="F97" s="10"/>
      <c r="G97" s="9"/>
      <c r="H97" s="9"/>
      <c r="I97" s="11"/>
    </row>
    <row r="98" spans="1:9" ht="14.2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4.25">
      <c r="A99" s="25"/>
      <c r="B99" s="25"/>
      <c r="C99" s="25"/>
      <c r="D99" s="25"/>
      <c r="E99" s="25"/>
      <c r="F99" s="25"/>
      <c r="G99" s="25"/>
      <c r="H99" s="25"/>
      <c r="I99" s="11"/>
    </row>
    <row r="100" spans="1:9" ht="15">
      <c r="A100" s="26"/>
      <c r="B100" s="26"/>
      <c r="C100" s="26"/>
      <c r="D100" s="26"/>
      <c r="E100" s="26"/>
      <c r="F100" s="26"/>
      <c r="G100" s="26"/>
      <c r="H100" s="26"/>
      <c r="I100" s="11"/>
    </row>
    <row r="101" spans="1:9" ht="14.25">
      <c r="A101" s="27"/>
      <c r="B101" s="28"/>
      <c r="C101" s="29"/>
      <c r="D101" s="28"/>
      <c r="E101" s="28"/>
      <c r="F101" s="28"/>
      <c r="G101" s="28"/>
      <c r="H101" s="28"/>
      <c r="I101" s="11"/>
    </row>
    <row r="102" spans="1:9" ht="14.25">
      <c r="A102" s="27"/>
      <c r="B102" s="28"/>
      <c r="C102" s="29"/>
      <c r="D102" s="28"/>
      <c r="E102" s="28"/>
      <c r="F102" s="28"/>
      <c r="G102" s="28"/>
      <c r="H102" s="28"/>
      <c r="I102" s="11"/>
    </row>
    <row r="103" spans="1:9" ht="14.25">
      <c r="A103" s="24"/>
      <c r="B103" s="24"/>
      <c r="C103" s="9"/>
      <c r="D103" s="24"/>
      <c r="E103" s="24"/>
      <c r="F103" s="24"/>
      <c r="G103" s="24"/>
      <c r="H103" s="24"/>
      <c r="I103" s="11"/>
    </row>
    <row r="104" spans="1:9" ht="14.25">
      <c r="A104" s="6"/>
      <c r="B104" s="9"/>
      <c r="C104" s="9"/>
      <c r="D104" s="9"/>
      <c r="E104" s="9"/>
      <c r="F104" s="9"/>
      <c r="G104" s="9"/>
      <c r="H104" s="9"/>
      <c r="I104" s="11"/>
    </row>
    <row r="105" spans="1:9" ht="14.25">
      <c r="A105" s="6"/>
      <c r="B105" s="9"/>
      <c r="C105" s="9"/>
      <c r="D105" s="9"/>
      <c r="E105" s="9"/>
      <c r="F105" s="9"/>
      <c r="G105" s="9"/>
      <c r="H105" s="9"/>
      <c r="I105" s="11"/>
    </row>
    <row r="106" spans="1:9" ht="14.25">
      <c r="A106" s="6"/>
      <c r="B106" s="9"/>
      <c r="C106" s="9"/>
      <c r="D106" s="9"/>
      <c r="E106" s="9"/>
      <c r="F106" s="9"/>
      <c r="G106" s="9"/>
      <c r="H106" s="9"/>
      <c r="I106" s="11"/>
    </row>
    <row r="107" spans="1:9" ht="14.25">
      <c r="A107" s="6"/>
      <c r="B107" s="9"/>
      <c r="C107" s="9"/>
      <c r="D107" s="9"/>
      <c r="E107" s="9"/>
      <c r="F107" s="9"/>
      <c r="G107" s="9"/>
      <c r="H107" s="9"/>
      <c r="I107" s="11"/>
    </row>
    <row r="108" spans="1:9" ht="14.25">
      <c r="A108" s="6"/>
      <c r="B108" s="9"/>
      <c r="C108" s="9"/>
      <c r="D108" s="9"/>
      <c r="E108" s="9"/>
      <c r="F108" s="9"/>
      <c r="G108" s="9"/>
      <c r="H108" s="9"/>
      <c r="I108" s="11"/>
    </row>
    <row r="109" spans="1:9" ht="14.25">
      <c r="A109" s="6"/>
      <c r="B109" s="9"/>
      <c r="C109" s="10"/>
      <c r="D109" s="10"/>
      <c r="E109" s="10"/>
      <c r="F109" s="10"/>
      <c r="G109" s="9"/>
      <c r="H109" s="9"/>
      <c r="I109" s="11"/>
    </row>
    <row r="110" spans="1:9" ht="14.2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4.25">
      <c r="A111" s="11"/>
      <c r="B111" s="11"/>
      <c r="C111" s="11"/>
      <c r="D111" s="11"/>
      <c r="E111" s="11"/>
      <c r="F111" s="11"/>
      <c r="G111" s="11"/>
      <c r="H111" s="11"/>
      <c r="I111" s="11"/>
    </row>
  </sheetData>
  <sheetProtection/>
  <mergeCells count="10">
    <mergeCell ref="F4:F5"/>
    <mergeCell ref="E4:E5"/>
    <mergeCell ref="H4:H5"/>
    <mergeCell ref="A3:H3"/>
    <mergeCell ref="A2:G2"/>
    <mergeCell ref="A4:A5"/>
    <mergeCell ref="B4:B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scale="98" r:id="rId1"/>
  <headerFooter differentFirst="1" alignWithMargins="0">
    <oddHeader xml:space="preserve">&amp;L&amp;8Mott Macdonald Limited Sp. z o.o.&amp;R&amp;8Tabela robót  
   </oddHeader>
    <oddFooter>&amp;L&amp;8Grudzień 2008&amp;C&amp;[2&amp;R&amp;8Gmina Cedry Wielkie</oddFooter>
    <firstHeader xml:space="preserve">&amp;L&amp;8Mott Macdonald Limited Sp. z o.o.&amp;R&amp;8Tabela rob?t  </firstHeader>
    <firstFooter>&amp;L&amp;8Grudzień 2008&amp;C1&amp;R&amp;8Gmina Cedry Wielkie</firstFooter>
  </headerFooter>
  <rowBreaks count="2" manualBreakCount="2">
    <brk id="46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zakm</cp:lastModifiedBy>
  <cp:lastPrinted>2009-01-06T08:10:31Z</cp:lastPrinted>
  <dcterms:modified xsi:type="dcterms:W3CDTF">2009-01-06T08:11:08Z</dcterms:modified>
  <cp:category/>
  <cp:version/>
  <cp:contentType/>
  <cp:contentStatus/>
</cp:coreProperties>
</file>